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235" windowHeight="7050" firstSheet="4" activeTab="4"/>
  </bookViews>
  <sheets>
    <sheet name="2013" sheetId="1" state="hidden" r:id="rId1"/>
    <sheet name="2014" sheetId="2" state="hidden" r:id="rId2"/>
    <sheet name="2015" sheetId="3" state="hidden" r:id="rId3"/>
    <sheet name="PL III" sheetId="4" state="hidden" r:id="rId4"/>
    <sheet name="PL II" sheetId="5" r:id="rId5"/>
    <sheet name="09.4" sheetId="6" state="hidden" r:id="rId6"/>
    <sheet name="Sheet1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5">'09.4'!$A$1:$H$17</definedName>
    <definedName name="_xlnm.Print_Area" localSheetId="1">'2014'!$A$1:$F$55</definedName>
    <definedName name="_xlnm.Print_Area" localSheetId="2">'2015'!$A$2:$F$55</definedName>
    <definedName name="_xlnm.Print_Area" localSheetId="3">'PL III'!$A$1:$H$26</definedName>
    <definedName name="_xlnm.Print_Titles" localSheetId="2">'2015'!$5:$7</definedName>
  </definedNames>
  <calcPr fullCalcOnLoad="1"/>
</workbook>
</file>

<file path=xl/comments1.xml><?xml version="1.0" encoding="utf-8"?>
<comments xmlns="http://schemas.openxmlformats.org/spreadsheetml/2006/main">
  <authors>
    <author>Duong Pham</author>
  </authors>
  <commentList>
    <comment ref="F23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4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5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</commentList>
</comments>
</file>

<file path=xl/comments2.xml><?xml version="1.0" encoding="utf-8"?>
<comments xmlns="http://schemas.openxmlformats.org/spreadsheetml/2006/main">
  <authors>
    <author>Duong Pham</author>
  </authors>
  <commentList>
    <comment ref="F24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5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6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7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</commentList>
</comments>
</file>

<file path=xl/comments3.xml><?xml version="1.0" encoding="utf-8"?>
<comments xmlns="http://schemas.openxmlformats.org/spreadsheetml/2006/main">
  <authors>
    <author>Duong Pham</author>
  </authors>
  <commentList>
    <comment ref="F24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5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6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  <comment ref="F27" authorId="0">
      <text>
        <r>
          <rPr>
            <b/>
            <sz val="8"/>
            <rFont val="Tahoma"/>
            <family val="2"/>
          </rPr>
          <t>Duong Pham:</t>
        </r>
        <r>
          <rPr>
            <sz val="8"/>
            <rFont val="Tahoma"/>
            <family val="2"/>
          </rPr>
          <t xml:space="preserve">
Dư nợ trái phiếu của NHCS là 11.000 tỷ đồng.</t>
        </r>
      </text>
    </comment>
  </commentList>
</comments>
</file>

<file path=xl/sharedStrings.xml><?xml version="1.0" encoding="utf-8"?>
<sst xmlns="http://schemas.openxmlformats.org/spreadsheetml/2006/main" count="325" uniqueCount="124">
  <si>
    <t>Phụ lục số 1</t>
  </si>
  <si>
    <t>CHỈ TIÊU</t>
  </si>
  <si>
    <t>I.  NỢ CÔNG</t>
  </si>
  <si>
    <t>1.1 Nợ Chính phủ</t>
  </si>
  <si>
    <t>1.2 Nợ được Chính phủ bảo lãnh</t>
  </si>
  <si>
    <t xml:space="preserve"> a) Bảo lãnh vay trong nước</t>
  </si>
  <si>
    <t xml:space="preserve"> - Phát hành trái phiếu VDB</t>
  </si>
  <si>
    <t xml:space="preserve"> - Ngân hàng Chính sách Xã hội</t>
  </si>
  <si>
    <t>II. NỢ NƯỚC NGOÀI CỦA QUỐC GIA</t>
  </si>
  <si>
    <t>2.1 Nợ trung và dài hạn</t>
  </si>
  <si>
    <t xml:space="preserve"> a) Chính phủ</t>
  </si>
  <si>
    <t>III. CÁC CHỈ SỐ KINH TẾ VĨ MÔ</t>
  </si>
  <si>
    <t>3.1 GDP</t>
  </si>
  <si>
    <t>3.2 Xuất khẩu hàng hoá và dịch vụ</t>
  </si>
  <si>
    <t>3.3 Thu ngân sách nhà nước</t>
  </si>
  <si>
    <t>IV. CÁC CHỈ TIÊU VỀ NỢ</t>
  </si>
  <si>
    <t>4.1 Nợ công so với GDP</t>
  </si>
  <si>
    <t>4.2 Nợ Chính phủ so với GDP</t>
  </si>
  <si>
    <t>4.3 Nợ nước ngoài của quốc gia so với GDP</t>
  </si>
  <si>
    <t>Rút vốn</t>
  </si>
  <si>
    <t>Trả nợ</t>
  </si>
  <si>
    <t>Gốc</t>
  </si>
  <si>
    <t xml:space="preserve"> a) Nợ trong nước</t>
  </si>
  <si>
    <t xml:space="preserve"> b) Nợ nước ngoài </t>
  </si>
  <si>
    <t xml:space="preserve"> - Bảo lãnh Chính phủ</t>
  </si>
  <si>
    <t xml:space="preserve"> - Tự vay tự trả</t>
  </si>
  <si>
    <t xml:space="preserve"> b) Doanh nghiệp và tổ chức tín dụng </t>
  </si>
  <si>
    <t xml:space="preserve"> - Các tổ chức tín dụng</t>
  </si>
  <si>
    <t xml:space="preserve"> - Các doanh nghiệp</t>
  </si>
  <si>
    <t>Đơn vị: Tỷ đồng.</t>
  </si>
  <si>
    <t xml:space="preserve"> - Vay tồn ngân kho bạc</t>
  </si>
  <si>
    <t xml:space="preserve"> - Vay BHXH</t>
  </si>
  <si>
    <t xml:space="preserve"> - Vay Quỹ tích luỹ trả nợ</t>
  </si>
  <si>
    <t xml:space="preserve"> - Vay chuyển đổi nợ Nga</t>
  </si>
  <si>
    <t xml:space="preserve"> - Trái phiếu đặc biệt</t>
  </si>
  <si>
    <t xml:space="preserve"> - Vay nguồn chi phí cải cách doanh nghiệp</t>
  </si>
  <si>
    <t xml:space="preserve">1.3 Nợ của chính quyền địa phương </t>
  </si>
  <si>
    <t xml:space="preserve"> - Phát hành trái phiếu</t>
  </si>
  <si>
    <t xml:space="preserve"> - Vay khác</t>
  </si>
  <si>
    <t>Lãi&amp;phí</t>
  </si>
  <si>
    <t>4.5 Nghĩa vụ trả nợ nước ngoài của quốc gia so xuất khẩu</t>
  </si>
  <si>
    <t>4.4 Nghĩa vụ trả nợ Chính phủ so thu NSNN</t>
  </si>
  <si>
    <t xml:space="preserve"> - Vay SCIC</t>
  </si>
  <si>
    <t>Dư nợ cuối kỳ</t>
  </si>
  <si>
    <t>Dư nợ đầu kỳ</t>
  </si>
  <si>
    <t xml:space="preserve"> - Bảo lãnh vay trong nước của doanh nghiệp</t>
  </si>
  <si>
    <t xml:space="preserve"> b) Bảo lãnh vay nước ngoài</t>
  </si>
  <si>
    <t>2.2 Nợ ngắn hạn của doanh nghiệp, TCTD</t>
  </si>
  <si>
    <t>NỢ CÔNG VÀ NỢ NƯỚC NGOÀI CỦA QUỐC GIA 2013</t>
  </si>
  <si>
    <t xml:space="preserve"> - Vinashin</t>
  </si>
  <si>
    <t xml:space="preserve"> - VEC</t>
  </si>
  <si>
    <t>KBNN</t>
  </si>
  <si>
    <t>NSNN</t>
  </si>
  <si>
    <t>NTN</t>
  </si>
  <si>
    <t>BL</t>
  </si>
  <si>
    <t>TCNH</t>
  </si>
  <si>
    <t>SBV</t>
  </si>
  <si>
    <t>SP1</t>
  </si>
  <si>
    <t xml:space="preserve"> - Trái phiếu, tín phiếu (1)</t>
  </si>
  <si>
    <t xml:space="preserve"> - VEC (2)</t>
  </si>
  <si>
    <t xml:space="preserve"> - Phát hành trái phiếu DATC (3)</t>
  </si>
  <si>
    <t>(1) Số vay bao gồm cả phát hành mới với hoán đổi trái phiếu;</t>
  </si>
  <si>
    <t>(2) Khoản nợ này được TTg quyết định chuyển từ nợ được bảo lãnh Chính phủ sang NSNN cấp phát;</t>
  </si>
  <si>
    <t>(3) Đây là khoản nợ tự vay tự trả của Vinashin đã được tái cơ cấu chuyển sang nợ TPQT được bảo lãnh Chính phủ.</t>
  </si>
  <si>
    <t xml:space="preserve"> Tỷ giá quy đổi cuối kỳ 1USD = 21.036VND;</t>
  </si>
  <si>
    <t>hoán đổi trái phiếu</t>
  </si>
  <si>
    <t>Trả nợ chính phủ trực tiếp/cvl</t>
  </si>
  <si>
    <t>Điều chỉnh theo QH2014</t>
  </si>
  <si>
    <t>NỢ CÔNG VÀ NỢ NƯỚC NGOÀI CỦA QUỐC GIA 2014</t>
  </si>
  <si>
    <t xml:space="preserve"> - Tín phiếu</t>
  </si>
  <si>
    <t xml:space="preserve"> - Trái phiếu</t>
  </si>
  <si>
    <t xml:space="preserve"> - Vinashin (SBIC)</t>
  </si>
  <si>
    <t xml:space="preserve"> - Phát hành trái phiếu DATC </t>
  </si>
  <si>
    <t xml:space="preserve"> - VEC </t>
  </si>
  <si>
    <t>4.4 Nghĩa vụ trả nợ trực tiếp Chính phủ so thu NSNN</t>
  </si>
  <si>
    <t>Hạn mức 2015</t>
  </si>
  <si>
    <t>triệu USD</t>
  </si>
  <si>
    <t>DỰ KIẾN NỢ CÔNG VÀ NỢ NƯỚC NGOÀI CỦA QUỐC GIA NĂM 2015</t>
  </si>
  <si>
    <t>Phụ lục số 5</t>
  </si>
  <si>
    <t>III. CÁC CHỈ TIÊU VỀ NỢ</t>
  </si>
  <si>
    <t>,</t>
  </si>
  <si>
    <t>(Kèm theo công văn số  143  /BTC-QLN ngày  05/03/2015 của Bộ Tài chính)</t>
  </si>
  <si>
    <t>Đơn vị: Triệu đồng</t>
  </si>
  <si>
    <t>Vay trong kỳ</t>
  </si>
  <si>
    <t>Trả nợ trong năm</t>
  </si>
  <si>
    <t>Lãi/phí</t>
  </si>
  <si>
    <t>Tổng</t>
  </si>
  <si>
    <t>Dư nợ đầu kỳ 
(ngày 01 tháng 01)</t>
  </si>
  <si>
    <t>TT</t>
  </si>
  <si>
    <t>Nội dung</t>
  </si>
  <si>
    <t>a</t>
  </si>
  <si>
    <t>b</t>
  </si>
  <si>
    <t>Vay các tổ chức tài chính, tín dụng</t>
  </si>
  <si>
    <t>Vay Ngân hàng Phát triển Việt Nam</t>
  </si>
  <si>
    <t>Vay lại vốn vay nước ngoài</t>
  </si>
  <si>
    <t>I</t>
  </si>
  <si>
    <t>II</t>
  </si>
  <si>
    <t>PHỤ LỤC III</t>
  </si>
  <si>
    <t>6=1+2-3</t>
  </si>
  <si>
    <t>TỔNG SỐ</t>
  </si>
  <si>
    <t xml:space="preserve">Dư nợ cuối kỳ (Ngày 31 tháng 12) </t>
  </si>
  <si>
    <t>Tên dự án…</t>
  </si>
  <si>
    <t>BÁO CÁO TÌNH HÌNH VAY VÀ TRẢ NỢ CỦA CHÍNH QUYỀN ĐỊA PHƯƠNG NĂM 2020</t>
  </si>
  <si>
    <t>Kèm theo Báo cáo số          /BC-STC ngày      tháng       năm 2020 của Sở Tài chính)</t>
  </si>
  <si>
    <t>Dự án sửa chữa và nâng cao an toàn đập (W8)</t>
  </si>
  <si>
    <t>Người lập</t>
  </si>
  <si>
    <t>Lãnh đạo Ban quản lý dự án</t>
  </si>
  <si>
    <t>Dự án "Hạ tầng cơ bản phát triển toàn diện các tỉnh Đông Bắc: Hà Giang, Cao Bằng, Bắc Kạn, Lạng Sơn" - Tiểu dự án tỉnh Hà Giang</t>
  </si>
  <si>
    <t>Trả nợ gốc</t>
  </si>
  <si>
    <t>Trả nợ lãi/phí</t>
  </si>
  <si>
    <t>Vay trong năm 2020</t>
  </si>
  <si>
    <t xml:space="preserve">Dư nợ cuối kỳ
(Ngày 31/12/2020) </t>
  </si>
  <si>
    <t>Dư nợ 2019 chuyển sang 2020</t>
  </si>
  <si>
    <t>Ước hạn mức dư nợ vay tối đa của NSĐP</t>
  </si>
  <si>
    <t>TỔNG CỘNG</t>
  </si>
  <si>
    <t>Chương trình phát triển các đô thị loại II (Các đô thị xanh) - Tiểu dự án tại Hà Giang</t>
  </si>
  <si>
    <t>Ghi chú</t>
  </si>
  <si>
    <t xml:space="preserve">Dự án Đầu tư xây dựng và phát triển hệ thống cung ứng dịch vụ y tế tuyến cơ sở tỉnh Hà Giang  </t>
  </si>
  <si>
    <t>Số hạch toán KBNN</t>
  </si>
  <si>
    <t>Kèm theo Báo cáo số          /BC-STC ngày      tháng       năm 2023 của Sở Tài chính)</t>
  </si>
  <si>
    <t>Dư nợ đầu kỳ (01/01/2023)</t>
  </si>
  <si>
    <t xml:space="preserve">Dư nợ cuối kỳ
(30/06/2023) </t>
  </si>
  <si>
    <t>Lãi nhập gốc</t>
  </si>
  <si>
    <t>BÁO CÁO TÌNH HÌNH VAY VÀ TRẢ NỢ CỦA CHÍNH QUYỀN ĐỊA PHƯƠNG NĂM 2022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</si>
</sst>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\ _₫_-;\-* #,##0\ _₫_-;_-* &quot;-&quot;??\ _₫_-;_-@_-"/>
    <numFmt numFmtId="181" formatCode="0.0%"/>
    <numFmt numFmtId="182" formatCode="_(* #,##0_);_(* \(#,##0\);_(* &quot;-&quot;??_);_(@_)"/>
    <numFmt numFmtId="183" formatCode="_(* #,##0.0_);_(* \(#,##0.0\);_(* &quot;-&quot;??_);_(@_)"/>
    <numFmt numFmtId="184" formatCode="_(* #,##0.000_);_(* \(#,##0.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_(* #,##0.000_);_(* \(#,##0.000\);_(* &quot;-&quot;???_);_(@_)"/>
    <numFmt numFmtId="191" formatCode="0.000%"/>
    <numFmt numFmtId="192" formatCode="_-* #,##0.000\ _₫_-;\-* #,##0.000\ _₫_-;_-* &quot;-&quot;???\ _₫_-;_-@_-"/>
    <numFmt numFmtId="193" formatCode="#,##0.0,"/>
    <numFmt numFmtId="194" formatCode="_(* #,##0.0000_);_(* \(#,##0.0000\);_(* &quot;-&quot;??_);_(@_)"/>
    <numFmt numFmtId="195" formatCode="#,##0.0"/>
    <numFmt numFmtId="196" formatCode="#,##0.000"/>
    <numFmt numFmtId="197" formatCode="_(* #,##0.0_);_(* \(#,##0.0\);_(* &quot;-&quot;?_);_(@_)"/>
    <numFmt numFmtId="198" formatCode="_-* #,##0.0_-;\-* #,##0.0_-;_-* &quot;-&quot;??_-;_-@_-"/>
    <numFmt numFmtId="199" formatCode="_-* #,##0_-;\-* #,##0_-;_-* &quot;-&quot;??_-;_-@_-"/>
  </numFmts>
  <fonts count="7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.5"/>
      <color indexed="10"/>
      <name val="Times New Roman"/>
      <family val="1"/>
    </font>
    <font>
      <sz val="12.5"/>
      <name val="Times New Roman"/>
      <family val="1"/>
    </font>
    <font>
      <b/>
      <i/>
      <sz val="12.5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i/>
      <sz val="13"/>
      <name val="Times New Roman"/>
      <family val="1"/>
    </font>
    <font>
      <sz val="12"/>
      <name val=".VnArial Narrow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name val="Arial"/>
      <family val="2"/>
    </font>
    <font>
      <sz val="8"/>
      <color indexed="8"/>
      <name val="Arial"/>
      <family val="0"/>
    </font>
    <font>
      <sz val="2.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43"/>
      <name val="Times New Roman"/>
      <family val="1"/>
    </font>
    <font>
      <sz val="12"/>
      <color indexed="4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5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Times New Roman"/>
      <family val="1"/>
    </font>
    <font>
      <sz val="14"/>
      <color theme="2" tint="-0.24997000396251678"/>
      <name val="Times New Roman"/>
      <family val="1"/>
    </font>
    <font>
      <sz val="12"/>
      <color theme="2" tint="-0.2499700039625167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2"/>
      <color theme="9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1" fontId="6" fillId="0" borderId="10" xfId="42" applyFont="1" applyBorder="1" applyAlignment="1">
      <alignment horizontal="center"/>
    </xf>
    <xf numFmtId="0" fontId="7" fillId="0" borderId="0" xfId="0" applyFont="1" applyAlignment="1">
      <alignment/>
    </xf>
    <xf numFmtId="181" fontId="7" fillId="0" borderId="0" xfId="61" applyNumberFormat="1" applyFont="1" applyAlignment="1">
      <alignment/>
    </xf>
    <xf numFmtId="182" fontId="9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171" fontId="10" fillId="0" borderId="10" xfId="42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171" fontId="11" fillId="0" borderId="10" xfId="42" applyFont="1" applyBorder="1" applyAlignment="1">
      <alignment horizontal="center"/>
    </xf>
    <xf numFmtId="171" fontId="11" fillId="0" borderId="10" xfId="42" applyFont="1" applyFill="1" applyBorder="1" applyAlignment="1">
      <alignment/>
    </xf>
    <xf numFmtId="171" fontId="11" fillId="0" borderId="10" xfId="42" applyFont="1" applyFill="1" applyBorder="1" applyAlignment="1">
      <alignment horizontal="center"/>
    </xf>
    <xf numFmtId="182" fontId="3" fillId="0" borderId="0" xfId="0" applyNumberFormat="1" applyFont="1" applyAlignment="1">
      <alignment/>
    </xf>
    <xf numFmtId="182" fontId="3" fillId="0" borderId="0" xfId="42" applyNumberFormat="1" applyFont="1" applyAlignment="1">
      <alignment/>
    </xf>
    <xf numFmtId="190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84" fontId="3" fillId="0" borderId="0" xfId="42" applyNumberFormat="1" applyFont="1" applyAlignment="1">
      <alignment/>
    </xf>
    <xf numFmtId="171" fontId="10" fillId="0" borderId="10" xfId="42" applyFont="1" applyFill="1" applyBorder="1" applyAlignment="1">
      <alignment/>
    </xf>
    <xf numFmtId="171" fontId="10" fillId="0" borderId="10" xfId="42" applyFont="1" applyFill="1" applyBorder="1" applyAlignment="1">
      <alignment horizontal="center"/>
    </xf>
    <xf numFmtId="0" fontId="6" fillId="0" borderId="10" xfId="0" applyFont="1" applyBorder="1" applyAlignment="1">
      <alignment/>
    </xf>
    <xf numFmtId="171" fontId="6" fillId="0" borderId="10" xfId="42" applyFont="1" applyBorder="1" applyAlignment="1">
      <alignment horizontal="center"/>
    </xf>
    <xf numFmtId="10" fontId="7" fillId="0" borderId="0" xfId="61" applyNumberFormat="1" applyFont="1" applyAlignment="1">
      <alignment/>
    </xf>
    <xf numFmtId="0" fontId="7" fillId="0" borderId="0" xfId="0" applyFont="1" applyAlignment="1">
      <alignment/>
    </xf>
    <xf numFmtId="171" fontId="11" fillId="0" borderId="10" xfId="42" applyFont="1" applyBorder="1" applyAlignment="1">
      <alignment/>
    </xf>
    <xf numFmtId="171" fontId="10" fillId="0" borderId="10" xfId="42" applyFont="1" applyBorder="1" applyAlignment="1">
      <alignment/>
    </xf>
    <xf numFmtId="171" fontId="6" fillId="0" borderId="10" xfId="42" applyFont="1" applyBorder="1" applyAlignment="1">
      <alignment/>
    </xf>
    <xf numFmtId="182" fontId="11" fillId="0" borderId="10" xfId="42" applyNumberFormat="1" applyFont="1" applyBorder="1" applyAlignment="1">
      <alignment/>
    </xf>
    <xf numFmtId="182" fontId="6" fillId="0" borderId="10" xfId="42" applyNumberFormat="1" applyFont="1" applyBorder="1" applyAlignment="1">
      <alignment/>
    </xf>
    <xf numFmtId="0" fontId="12" fillId="0" borderId="10" xfId="0" applyFont="1" applyBorder="1" applyAlignment="1">
      <alignment/>
    </xf>
    <xf numFmtId="182" fontId="12" fillId="0" borderId="10" xfId="42" applyNumberFormat="1" applyFont="1" applyBorder="1" applyAlignment="1">
      <alignment/>
    </xf>
    <xf numFmtId="182" fontId="12" fillId="0" borderId="10" xfId="42" applyNumberFormat="1" applyFont="1" applyBorder="1" applyAlignment="1">
      <alignment horizontal="right"/>
    </xf>
    <xf numFmtId="0" fontId="8" fillId="0" borderId="0" xfId="0" applyFont="1" applyAlignment="1">
      <alignment/>
    </xf>
    <xf numFmtId="182" fontId="12" fillId="0" borderId="10" xfId="42" applyNumberFormat="1" applyFont="1" applyFill="1" applyBorder="1" applyAlignment="1">
      <alignment/>
    </xf>
    <xf numFmtId="182" fontId="8" fillId="0" borderId="0" xfId="0" applyNumberFormat="1" applyFont="1" applyAlignment="1">
      <alignment/>
    </xf>
    <xf numFmtId="180" fontId="6" fillId="0" borderId="10" xfId="42" applyNumberFormat="1" applyFont="1" applyBorder="1" applyAlignment="1">
      <alignment/>
    </xf>
    <xf numFmtId="180" fontId="6" fillId="0" borderId="10" xfId="42" applyNumberFormat="1" applyFont="1" applyBorder="1" applyAlignment="1">
      <alignment horizontal="center"/>
    </xf>
    <xf numFmtId="181" fontId="6" fillId="0" borderId="10" xfId="61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81" fontId="13" fillId="0" borderId="10" xfId="61" applyNumberFormat="1" applyFont="1" applyBorder="1" applyAlignment="1">
      <alignment horizontal="right"/>
    </xf>
    <xf numFmtId="171" fontId="13" fillId="0" borderId="10" xfId="42" applyFont="1" applyBorder="1" applyAlignment="1">
      <alignment horizontal="right"/>
    </xf>
    <xf numFmtId="181" fontId="13" fillId="0" borderId="0" xfId="61" applyNumberFormat="1" applyFont="1" applyAlignment="1">
      <alignment/>
    </xf>
    <xf numFmtId="0" fontId="13" fillId="0" borderId="0" xfId="0" applyFont="1" applyAlignment="1">
      <alignment/>
    </xf>
    <xf numFmtId="181" fontId="13" fillId="0" borderId="10" xfId="61" applyNumberFormat="1" applyFont="1" applyBorder="1" applyAlignment="1">
      <alignment/>
    </xf>
    <xf numFmtId="0" fontId="14" fillId="0" borderId="0" xfId="0" applyFont="1" applyAlignment="1">
      <alignment/>
    </xf>
    <xf numFmtId="171" fontId="7" fillId="0" borderId="0" xfId="42" applyFont="1" applyAlignment="1">
      <alignment/>
    </xf>
    <xf numFmtId="171" fontId="3" fillId="0" borderId="0" xfId="0" applyNumberFormat="1" applyFont="1" applyAlignment="1">
      <alignment/>
    </xf>
    <xf numFmtId="182" fontId="6" fillId="0" borderId="10" xfId="42" applyNumberFormat="1" applyFont="1" applyBorder="1" applyAlignment="1">
      <alignment horizontal="center"/>
    </xf>
    <xf numFmtId="182" fontId="10" fillId="0" borderId="10" xfId="42" applyNumberFormat="1" applyFont="1" applyBorder="1" applyAlignment="1">
      <alignment horizontal="center"/>
    </xf>
    <xf numFmtId="182" fontId="11" fillId="0" borderId="10" xfId="42" applyNumberFormat="1" applyFont="1" applyFill="1" applyBorder="1" applyAlignment="1">
      <alignment horizontal="center"/>
    </xf>
    <xf numFmtId="182" fontId="11" fillId="0" borderId="10" xfId="42" applyNumberFormat="1" applyFont="1" applyBorder="1" applyAlignment="1">
      <alignment horizontal="center"/>
    </xf>
    <xf numFmtId="182" fontId="11" fillId="0" borderId="10" xfId="42" applyNumberFormat="1" applyFont="1" applyFill="1" applyBorder="1" applyAlignment="1">
      <alignment/>
    </xf>
    <xf numFmtId="182" fontId="10" fillId="0" borderId="10" xfId="42" applyNumberFormat="1" applyFont="1" applyFill="1" applyBorder="1" applyAlignment="1">
      <alignment/>
    </xf>
    <xf numFmtId="182" fontId="10" fillId="0" borderId="10" xfId="42" applyNumberFormat="1" applyFont="1" applyFill="1" applyBorder="1" applyAlignment="1">
      <alignment horizontal="center"/>
    </xf>
    <xf numFmtId="182" fontId="6" fillId="0" borderId="10" xfId="42" applyNumberFormat="1" applyFont="1" applyBorder="1" applyAlignment="1">
      <alignment horizontal="center"/>
    </xf>
    <xf numFmtId="181" fontId="9" fillId="0" borderId="0" xfId="61" applyNumberFormat="1" applyFont="1" applyAlignment="1">
      <alignment/>
    </xf>
    <xf numFmtId="10" fontId="9" fillId="0" borderId="0" xfId="61" applyNumberFormat="1" applyFont="1" applyAlignment="1">
      <alignment/>
    </xf>
    <xf numFmtId="182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2" fontId="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171" fontId="9" fillId="0" borderId="0" xfId="42" applyFont="1" applyAlignment="1">
      <alignment/>
    </xf>
    <xf numFmtId="182" fontId="7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182" fontId="5" fillId="0" borderId="0" xfId="42" applyNumberFormat="1" applyFont="1" applyFill="1" applyBorder="1" applyAlignment="1">
      <alignment horizontal="right" vertical="center"/>
    </xf>
    <xf numFmtId="182" fontId="65" fillId="0" borderId="0" xfId="4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2" fontId="4" fillId="0" borderId="0" xfId="42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vertical="center"/>
    </xf>
    <xf numFmtId="182" fontId="66" fillId="0" borderId="0" xfId="42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/>
    </xf>
    <xf numFmtId="182" fontId="4" fillId="0" borderId="0" xfId="42" applyNumberFormat="1" applyFont="1" applyFill="1" applyBorder="1" applyAlignment="1">
      <alignment vertical="center"/>
    </xf>
    <xf numFmtId="0" fontId="5" fillId="0" borderId="0" xfId="58" applyFont="1" applyFill="1" applyBorder="1" applyAlignment="1">
      <alignment vertical="center"/>
      <protection/>
    </xf>
    <xf numFmtId="182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12" xfId="42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0" xfId="42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182" fontId="7" fillId="0" borderId="10" xfId="42" applyNumberFormat="1" applyFont="1" applyFill="1" applyBorder="1" applyAlignment="1">
      <alignment horizontal="center" vertical="center" wrapText="1"/>
    </xf>
    <xf numFmtId="3" fontId="7" fillId="0" borderId="12" xfId="42" applyNumberFormat="1" applyFont="1" applyFill="1" applyBorder="1" applyAlignment="1">
      <alignment horizontal="right" vertical="center"/>
    </xf>
    <xf numFmtId="3" fontId="7" fillId="0" borderId="11" xfId="42" applyNumberFormat="1" applyFont="1" applyFill="1" applyBorder="1" applyAlignment="1">
      <alignment horizontal="right" vertical="center" wrapText="1"/>
    </xf>
    <xf numFmtId="196" fontId="3" fillId="0" borderId="12" xfId="42" applyNumberFormat="1" applyFont="1" applyFill="1" applyBorder="1" applyAlignment="1">
      <alignment horizontal="right" vertical="center"/>
    </xf>
    <xf numFmtId="196" fontId="7" fillId="0" borderId="12" xfId="42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8" fillId="0" borderId="12" xfId="42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3" fontId="3" fillId="0" borderId="13" xfId="42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 wrapText="1"/>
    </xf>
    <xf numFmtId="3" fontId="3" fillId="35" borderId="12" xfId="42" applyNumberFormat="1" applyFont="1" applyFill="1" applyBorder="1" applyAlignment="1">
      <alignment horizontal="right" vertical="center"/>
    </xf>
    <xf numFmtId="3" fontId="3" fillId="35" borderId="14" xfId="42" applyNumberFormat="1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justify" vertical="center"/>
    </xf>
    <xf numFmtId="0" fontId="69" fillId="35" borderId="14" xfId="0" applyFont="1" applyFill="1" applyBorder="1" applyAlignment="1">
      <alignment horizontal="justify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 wrapText="1"/>
    </xf>
    <xf numFmtId="3" fontId="3" fillId="35" borderId="13" xfId="42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5" xfId="42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182" fontId="3" fillId="35" borderId="0" xfId="0" applyNumberFormat="1" applyFont="1" applyFill="1" applyAlignment="1">
      <alignment/>
    </xf>
    <xf numFmtId="3" fontId="14" fillId="35" borderId="10" xfId="0" applyNumberFormat="1" applyFont="1" applyFill="1" applyBorder="1" applyAlignment="1">
      <alignment horizontal="center" vertical="center"/>
    </xf>
    <xf numFmtId="3" fontId="14" fillId="35" borderId="10" xfId="42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3" fontId="7" fillId="35" borderId="11" xfId="42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2" xfId="42" applyNumberFormat="1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vertical="center" wrapText="1"/>
    </xf>
    <xf numFmtId="182" fontId="7" fillId="35" borderId="10" xfId="42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justify" vertical="center"/>
    </xf>
    <xf numFmtId="3" fontId="3" fillId="35" borderId="14" xfId="44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justify" vertical="center"/>
    </xf>
    <xf numFmtId="3" fontId="3" fillId="35" borderId="13" xfId="44" applyNumberFormat="1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14" fillId="35" borderId="0" xfId="0" applyFont="1" applyFill="1" applyAlignment="1">
      <alignment/>
    </xf>
    <xf numFmtId="3" fontId="14" fillId="35" borderId="0" xfId="0" applyNumberFormat="1" applyFont="1" applyFill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70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3" fontId="70" fillId="35" borderId="14" xfId="42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justify" vertical="center"/>
    </xf>
    <xf numFmtId="3" fontId="3" fillId="35" borderId="14" xfId="42" applyNumberFormat="1" applyFont="1" applyFill="1" applyBorder="1" applyAlignment="1">
      <alignment horizontal="center" vertical="center" wrapText="1"/>
    </xf>
    <xf numFmtId="3" fontId="3" fillId="35" borderId="14" xfId="44" applyNumberFormat="1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vertical="center"/>
    </xf>
    <xf numFmtId="3" fontId="7" fillId="35" borderId="17" xfId="42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3" fontId="3" fillId="35" borderId="17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82" fontId="7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2" fontId="4" fillId="0" borderId="0" xfId="4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35" borderId="10" xfId="42" applyNumberFormat="1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82" fontId="7" fillId="35" borderId="15" xfId="42" applyNumberFormat="1" applyFont="1" applyFill="1" applyBorder="1" applyAlignment="1">
      <alignment horizontal="center" vertical="center" wrapText="1"/>
    </xf>
    <xf numFmtId="182" fontId="7" fillId="35" borderId="18" xfId="42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'[1]2011'!$O$10:$O$24</c:f>
              <c:strCache>
                <c:ptCount val="15"/>
                <c:pt idx="0">
                  <c:v>Bảo hiểm Xã hội</c:v>
                </c:pt>
                <c:pt idx="9">
                  <c:v>Tồn ngân Kho bạc</c:v>
                </c:pt>
                <c:pt idx="10">
                  <c:v>Nhật Bản</c:v>
                </c:pt>
                <c:pt idx="11">
                  <c:v>WB</c:v>
                </c:pt>
                <c:pt idx="12">
                  <c:v>ADB</c:v>
                </c:pt>
                <c:pt idx="13">
                  <c:v>Nhà đầu tư trái phiếu</c:v>
                </c:pt>
                <c:pt idx="14">
                  <c:v>Khác</c:v>
                </c:pt>
              </c:strCache>
            </c:strRef>
          </c:cat>
          <c:val>
            <c:numRef>
              <c:f>'[1]2011'!$P$10:$P$24</c:f>
              <c:numCache>
                <c:ptCount val="15"/>
                <c:pt idx="0">
                  <c:v>74000</c:v>
                </c:pt>
                <c:pt idx="9">
                  <c:v>121430</c:v>
                </c:pt>
                <c:pt idx="10">
                  <c:v>232982</c:v>
                </c:pt>
                <c:pt idx="11">
                  <c:v>183898</c:v>
                </c:pt>
                <c:pt idx="12">
                  <c:v>104910</c:v>
                </c:pt>
                <c:pt idx="13">
                  <c:v>383746</c:v>
                </c:pt>
                <c:pt idx="14">
                  <c:v>291053.6000000001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'[1]2011'!$O$30:$O$34</c:f>
              <c:strCache>
                <c:ptCount val="5"/>
                <c:pt idx="0">
                  <c:v>VND</c:v>
                </c:pt>
                <c:pt idx="1">
                  <c:v>JPY</c:v>
                </c:pt>
                <c:pt idx="2">
                  <c:v>USD</c:v>
                </c:pt>
                <c:pt idx="3">
                  <c:v>SDR</c:v>
                </c:pt>
                <c:pt idx="4">
                  <c:v>Khác</c:v>
                </c:pt>
              </c:strCache>
            </c:strRef>
          </c:cat>
          <c:val>
            <c:numRef>
              <c:f>'[1]2011'!$P$30:$P$34</c:f>
              <c:numCache>
                <c:ptCount val="5"/>
                <c:pt idx="0">
                  <c:v>575474.5</c:v>
                </c:pt>
                <c:pt idx="1">
                  <c:v>232982</c:v>
                </c:pt>
                <c:pt idx="2">
                  <c:v>250436.80000000005</c:v>
                </c:pt>
                <c:pt idx="3">
                  <c:v>183898</c:v>
                </c:pt>
                <c:pt idx="4">
                  <c:v>149228.30000000005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'[1]2011'!$O$10:$O$24</c:f>
              <c:strCache>
                <c:ptCount val="15"/>
                <c:pt idx="0">
                  <c:v>Bảo hiểm Xã hội</c:v>
                </c:pt>
                <c:pt idx="9">
                  <c:v>Tồn ngân Kho bạc</c:v>
                </c:pt>
                <c:pt idx="10">
                  <c:v>Nhật Bản</c:v>
                </c:pt>
                <c:pt idx="11">
                  <c:v>WB</c:v>
                </c:pt>
                <c:pt idx="12">
                  <c:v>ADB</c:v>
                </c:pt>
                <c:pt idx="13">
                  <c:v>Nhà đầu tư trái phiếu</c:v>
                </c:pt>
                <c:pt idx="14">
                  <c:v>Khác</c:v>
                </c:pt>
              </c:strCache>
            </c:strRef>
          </c:cat>
          <c:val>
            <c:numRef>
              <c:f>'[1]2011'!$P$10:$P$24</c:f>
              <c:numCache>
                <c:ptCount val="15"/>
                <c:pt idx="0">
                  <c:v>74000</c:v>
                </c:pt>
                <c:pt idx="9">
                  <c:v>121430</c:v>
                </c:pt>
                <c:pt idx="10">
                  <c:v>232982</c:v>
                </c:pt>
                <c:pt idx="11">
                  <c:v>183898</c:v>
                </c:pt>
                <c:pt idx="12">
                  <c:v>104910</c:v>
                </c:pt>
                <c:pt idx="13">
                  <c:v>383746</c:v>
                </c:pt>
                <c:pt idx="14">
                  <c:v>291053.6000000001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'[1]2011'!$O$30:$O$34</c:f>
              <c:strCache>
                <c:ptCount val="5"/>
                <c:pt idx="0">
                  <c:v>VND</c:v>
                </c:pt>
                <c:pt idx="1">
                  <c:v>JPY</c:v>
                </c:pt>
                <c:pt idx="2">
                  <c:v>USD</c:v>
                </c:pt>
                <c:pt idx="3">
                  <c:v>SDR</c:v>
                </c:pt>
                <c:pt idx="4">
                  <c:v>Khác</c:v>
                </c:pt>
              </c:strCache>
            </c:strRef>
          </c:cat>
          <c:val>
            <c:numRef>
              <c:f>'[1]2011'!$P$30:$P$34</c:f>
              <c:numCache>
                <c:ptCount val="5"/>
                <c:pt idx="0">
                  <c:v>575474.5</c:v>
                </c:pt>
                <c:pt idx="1">
                  <c:v>232982</c:v>
                </c:pt>
                <c:pt idx="2">
                  <c:v>250436.80000000005</c:v>
                </c:pt>
                <c:pt idx="3">
                  <c:v>183898</c:v>
                </c:pt>
                <c:pt idx="4">
                  <c:v>149228.30000000005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'[1]2011'!$O$10:$O$24</c:f>
              <c:strCache>
                <c:ptCount val="15"/>
                <c:pt idx="0">
                  <c:v>Bảo hiểm Xã hội</c:v>
                </c:pt>
                <c:pt idx="9">
                  <c:v>Tồn ngân Kho bạc</c:v>
                </c:pt>
                <c:pt idx="10">
                  <c:v>Nhật Bản</c:v>
                </c:pt>
                <c:pt idx="11">
                  <c:v>WB</c:v>
                </c:pt>
                <c:pt idx="12">
                  <c:v>ADB</c:v>
                </c:pt>
                <c:pt idx="13">
                  <c:v>Nhà đầu tư trái phiếu</c:v>
                </c:pt>
                <c:pt idx="14">
                  <c:v>Khác</c:v>
                </c:pt>
              </c:strCache>
            </c:strRef>
          </c:cat>
          <c:val>
            <c:numRef>
              <c:f>'[1]2011'!$P$10:$P$24</c:f>
              <c:numCache>
                <c:ptCount val="15"/>
                <c:pt idx="0">
                  <c:v>74000</c:v>
                </c:pt>
                <c:pt idx="9">
                  <c:v>121430</c:v>
                </c:pt>
                <c:pt idx="10">
                  <c:v>232982</c:v>
                </c:pt>
                <c:pt idx="11">
                  <c:v>183898</c:v>
                </c:pt>
                <c:pt idx="12">
                  <c:v>104910</c:v>
                </c:pt>
                <c:pt idx="13">
                  <c:v>383746</c:v>
                </c:pt>
                <c:pt idx="14">
                  <c:v>291053.6000000001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'[1]2011'!$O$30:$O$34</c:f>
              <c:strCache>
                <c:ptCount val="5"/>
                <c:pt idx="0">
                  <c:v>VND</c:v>
                </c:pt>
                <c:pt idx="1">
                  <c:v>JPY</c:v>
                </c:pt>
                <c:pt idx="2">
                  <c:v>USD</c:v>
                </c:pt>
                <c:pt idx="3">
                  <c:v>SDR</c:v>
                </c:pt>
                <c:pt idx="4">
                  <c:v>Khác</c:v>
                </c:pt>
              </c:strCache>
            </c:strRef>
          </c:cat>
          <c:val>
            <c:numRef>
              <c:f>'[1]2011'!$P$30:$P$34</c:f>
              <c:numCache>
                <c:ptCount val="5"/>
                <c:pt idx="0">
                  <c:v>575474.5</c:v>
                </c:pt>
                <c:pt idx="1">
                  <c:v>232982</c:v>
                </c:pt>
                <c:pt idx="2">
                  <c:v>250436.80000000005</c:v>
                </c:pt>
                <c:pt idx="3">
                  <c:v>183898</c:v>
                </c:pt>
                <c:pt idx="4">
                  <c:v>149228.30000000005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23</xdr:row>
      <xdr:rowOff>57150</xdr:rowOff>
    </xdr:to>
    <xdr:graphicFrame>
      <xdr:nvGraphicFramePr>
        <xdr:cNvPr id="1" name="Chart 10"/>
        <xdr:cNvGraphicFramePr/>
      </xdr:nvGraphicFramePr>
      <xdr:xfrm>
        <a:off x="8001000" y="122872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104775</xdr:rowOff>
    </xdr:from>
    <xdr:to>
      <xdr:col>6</xdr:col>
      <xdr:colOff>0</xdr:colOff>
      <xdr:row>39</xdr:row>
      <xdr:rowOff>180975</xdr:rowOff>
    </xdr:to>
    <xdr:graphicFrame>
      <xdr:nvGraphicFramePr>
        <xdr:cNvPr id="2" name="Chart 12"/>
        <xdr:cNvGraphicFramePr/>
      </xdr:nvGraphicFramePr>
      <xdr:xfrm>
        <a:off x="8001000" y="5238750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24</xdr:row>
      <xdr:rowOff>57150</xdr:rowOff>
    </xdr:to>
    <xdr:graphicFrame>
      <xdr:nvGraphicFramePr>
        <xdr:cNvPr id="1" name="Chart 10"/>
        <xdr:cNvGraphicFramePr/>
      </xdr:nvGraphicFramePr>
      <xdr:xfrm>
        <a:off x="8134350" y="1228725"/>
        <a:ext cx="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180975</xdr:rowOff>
    </xdr:to>
    <xdr:graphicFrame>
      <xdr:nvGraphicFramePr>
        <xdr:cNvPr id="2" name="Chart 12"/>
        <xdr:cNvGraphicFramePr/>
      </xdr:nvGraphicFramePr>
      <xdr:xfrm>
        <a:off x="8134350" y="5334000"/>
        <a:ext cx="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24</xdr:row>
      <xdr:rowOff>57150</xdr:rowOff>
    </xdr:to>
    <xdr:graphicFrame>
      <xdr:nvGraphicFramePr>
        <xdr:cNvPr id="1" name="Chart 10"/>
        <xdr:cNvGraphicFramePr/>
      </xdr:nvGraphicFramePr>
      <xdr:xfrm>
        <a:off x="9344025" y="1314450"/>
        <a:ext cx="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39</xdr:row>
      <xdr:rowOff>180975</xdr:rowOff>
    </xdr:to>
    <xdr:graphicFrame>
      <xdr:nvGraphicFramePr>
        <xdr:cNvPr id="2" name="Chart 12"/>
        <xdr:cNvGraphicFramePr/>
      </xdr:nvGraphicFramePr>
      <xdr:xfrm>
        <a:off x="9344025" y="5419725"/>
        <a:ext cx="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Chi%20tieu%20giam%20sat%20no%202013(f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5.%20Du%20toan\9.%20N&#259;m%202019\DT%202020%20di%20BO\Du%20toan%202020%20v&#224;%20giai%20&#273;oan%202021-2023%20gui%20BTC%20(Hi&#7873;n%2024.7.2019)\Bieu%2001-02%20du%20toan%20nam%202020%20%20(theo%20TT%203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NGUON%20VON%20VAY\2.%20BAO%20CAO\2.%20BAO%20CAO%20THEO%20ND%2093%20VA%20THONG%20TU%2080\2023.11.%20BAO%20CAO%20THEO%20ND%2093%20VA%20TT80%206%20THANG%20DAU%20NAM%202023\2.5%20BAO%20CAO%20CPRP%20n&#259;m%20(theo%20TT%20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.%20NGUON%20VON%20VAY\2.%20BAO%20CAO\8.%20DOI%20CHIEU%20DU%20NO%20VAY\2022.10.%20DOI%20CHIEU%20VAY%202022\DOI%20CHIEU%20KBNN%20vay%202021%20cho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.%20NGUON%20VON%20VAY\2.%20BAO%20CAO\2.%20BAO%20CAO%20THEO%20ND%2093%20VA%20THONG%20TU%2080\2022.1.%20BAO%20CAO%20THEO%20ND%2093,%20TT80%20NAM%202021\2.%20BIEU%20BAO%20CAO%20ND%2093%20DEN%2031.12.2021%20(sua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 tieu"/>
      <sheetName val="2009"/>
      <sheetName val="2011"/>
      <sheetName val="Sheet4"/>
      <sheetName val="2012"/>
      <sheetName val="2013"/>
      <sheetName val="Sheet1"/>
    </sheetNames>
    <sheetDataSet>
      <sheetData sheetId="2">
        <row r="10">
          <cell r="O10" t="str">
            <v>Bảo hiểm Xã hội</v>
          </cell>
          <cell r="P10">
            <v>74000</v>
          </cell>
        </row>
        <row r="19">
          <cell r="O19" t="str">
            <v>Tồn ngân Kho bạc</v>
          </cell>
          <cell r="P19">
            <v>121430</v>
          </cell>
        </row>
        <row r="20">
          <cell r="O20" t="str">
            <v>Nhật Bản</v>
          </cell>
          <cell r="P20">
            <v>232982</v>
          </cell>
        </row>
        <row r="21">
          <cell r="O21" t="str">
            <v>WB</v>
          </cell>
          <cell r="P21">
            <v>183898</v>
          </cell>
        </row>
        <row r="22">
          <cell r="O22" t="str">
            <v>ADB</v>
          </cell>
          <cell r="P22">
            <v>104910</v>
          </cell>
        </row>
        <row r="23">
          <cell r="O23" t="str">
            <v>Nhà đầu tư trái phiếu</v>
          </cell>
          <cell r="P23">
            <v>383746</v>
          </cell>
        </row>
        <row r="24">
          <cell r="O24" t="str">
            <v>Khác</v>
          </cell>
          <cell r="P24">
            <v>291053.6000000001</v>
          </cell>
        </row>
        <row r="30">
          <cell r="O30" t="str">
            <v>VND</v>
          </cell>
          <cell r="P30">
            <v>575474.5</v>
          </cell>
        </row>
        <row r="31">
          <cell r="O31" t="str">
            <v>JPY</v>
          </cell>
          <cell r="P31">
            <v>232982</v>
          </cell>
        </row>
        <row r="32">
          <cell r="O32" t="str">
            <v>USD</v>
          </cell>
          <cell r="P32">
            <v>250436.80000000005</v>
          </cell>
        </row>
        <row r="33">
          <cell r="O33" t="str">
            <v>SDR</v>
          </cell>
          <cell r="P33">
            <v>183898</v>
          </cell>
        </row>
        <row r="34">
          <cell r="O34" t="str">
            <v>Khác</v>
          </cell>
          <cell r="P34">
            <v>149228.30000000005</v>
          </cell>
        </row>
        <row r="48">
          <cell r="K48">
            <v>0.1855498325307147</v>
          </cell>
        </row>
        <row r="49">
          <cell r="K49">
            <v>0.3591043802622851</v>
          </cell>
        </row>
      </sheetData>
      <sheetData sheetId="4">
        <row r="8">
          <cell r="C8">
            <v>416144.795</v>
          </cell>
        </row>
        <row r="9">
          <cell r="C9">
            <v>292570</v>
          </cell>
        </row>
        <row r="14">
          <cell r="F14">
            <v>18107</v>
          </cell>
        </row>
        <row r="16">
          <cell r="F16">
            <v>6000</v>
          </cell>
        </row>
        <row r="17">
          <cell r="F17">
            <v>9540</v>
          </cell>
        </row>
        <row r="18">
          <cell r="F18">
            <v>830</v>
          </cell>
        </row>
        <row r="19">
          <cell r="F19">
            <v>2180.53</v>
          </cell>
        </row>
        <row r="21">
          <cell r="C21">
            <v>105345.48999999999</v>
          </cell>
          <cell r="F21">
            <v>343099.5</v>
          </cell>
        </row>
        <row r="22">
          <cell r="F22">
            <v>192471.04</v>
          </cell>
        </row>
        <row r="23">
          <cell r="F23">
            <v>127348.8</v>
          </cell>
        </row>
        <row r="24">
          <cell r="F24">
            <v>27527</v>
          </cell>
        </row>
        <row r="26">
          <cell r="F26">
            <v>32668.54</v>
          </cell>
        </row>
        <row r="27">
          <cell r="F27">
            <v>627</v>
          </cell>
        </row>
        <row r="28">
          <cell r="F28">
            <v>150628.46</v>
          </cell>
        </row>
        <row r="30">
          <cell r="F30">
            <v>11630</v>
          </cell>
        </row>
        <row r="31">
          <cell r="C31">
            <v>4810</v>
          </cell>
          <cell r="F31">
            <v>8569</v>
          </cell>
        </row>
        <row r="34">
          <cell r="F34">
            <v>1213737.59684</v>
          </cell>
        </row>
        <row r="35">
          <cell r="F35">
            <v>1045898.6996</v>
          </cell>
        </row>
        <row r="36">
          <cell r="F36">
            <v>727434.05</v>
          </cell>
        </row>
        <row r="37">
          <cell r="F37">
            <v>318464.6496</v>
          </cell>
        </row>
        <row r="38">
          <cell r="F38">
            <v>150628.46</v>
          </cell>
        </row>
        <row r="39">
          <cell r="F39">
            <v>167836.18959999998</v>
          </cell>
        </row>
        <row r="40">
          <cell r="F40">
            <v>167838.89724</v>
          </cell>
        </row>
        <row r="41">
          <cell r="F41">
            <v>48205.98944</v>
          </cell>
        </row>
        <row r="42">
          <cell r="F42">
            <v>119632.9078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so 01"/>
      <sheetName val="Bieu so 02"/>
      <sheetName val="Bieu so 04"/>
    </sheetNames>
    <sheetDataSet>
      <sheetData sheetId="0">
        <row r="9">
          <cell r="B9" t="str">
            <v>Dự án xây dựng cầu dân sinh và quản lý tài sản đường địa phương (LRAMP)</v>
          </cell>
        </row>
        <row r="11">
          <cell r="B11" t="str">
            <v>Chương trình "Mở rộng quy mô vệ sinh nước sạch nông thôn dựa trên kết quả"</v>
          </cell>
        </row>
        <row r="12">
          <cell r="B12" t="str">
            <v>Chương trình giảm nghèo dựa trên phát triển hàng hóa (CPRP) tỉnh Hà Giang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bieu 1.01 "/>
      <sheetName val="biểu 1.02"/>
    </sheetNames>
    <sheetDataSet>
      <sheetData sheetId="1">
        <row r="13">
          <cell r="I13">
            <v>156993538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2020"/>
      <sheetName val="2021 (2)"/>
      <sheetName val="2020 (2)"/>
      <sheetName val="2021 TONG"/>
    </sheetNames>
    <sheetDataSet>
      <sheetData sheetId="0">
        <row r="13">
          <cell r="C13">
            <v>18625.280552467997</v>
          </cell>
          <cell r="D13">
            <v>5598.000002</v>
          </cell>
          <cell r="E13">
            <v>890.1684</v>
          </cell>
        </row>
        <row r="14">
          <cell r="C14">
            <v>15197.690907479999</v>
          </cell>
          <cell r="D14">
            <v>4250.63</v>
          </cell>
          <cell r="E14">
            <v>984.4124326</v>
          </cell>
        </row>
        <row r="15">
          <cell r="C15">
            <v>5834.0778404580005</v>
          </cell>
          <cell r="D15">
            <v>7775.512075478001</v>
          </cell>
          <cell r="E15">
            <v>1548.201039</v>
          </cell>
        </row>
        <row r="16">
          <cell r="C16">
            <v>7314.3465</v>
          </cell>
          <cell r="D16">
            <v>8092.427452399999</v>
          </cell>
          <cell r="F16">
            <v>134.63</v>
          </cell>
        </row>
        <row r="17">
          <cell r="C17">
            <v>13480.878814</v>
          </cell>
          <cell r="D17">
            <v>0</v>
          </cell>
          <cell r="E17">
            <v>223.549677</v>
          </cell>
        </row>
        <row r="18">
          <cell r="D18">
            <v>4048.8572826000004</v>
          </cell>
          <cell r="F18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PL III"/>
      <sheetName val="PL II"/>
      <sheetName val="09.4"/>
      <sheetName val="PL III-ND 93-31.12.21"/>
      <sheetName val="PL III-ND 93-31.12.21 (2)"/>
      <sheetName val="Chung tu tra lai,goc"/>
    </sheetNames>
    <sheetDataSet>
      <sheetData sheetId="7">
        <row r="12">
          <cell r="K12">
            <v>360.910971</v>
          </cell>
        </row>
        <row r="13">
          <cell r="K13">
            <v>286.548653</v>
          </cell>
        </row>
        <row r="14">
          <cell r="K14">
            <v>129.657914</v>
          </cell>
        </row>
        <row r="15">
          <cell r="K15">
            <v>23.586</v>
          </cell>
        </row>
        <row r="16">
          <cell r="K16">
            <v>280.4593475</v>
          </cell>
        </row>
        <row r="17">
          <cell r="K17">
            <v>155.060142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11" sqref="A11"/>
    </sheetView>
  </sheetViews>
  <sheetFormatPr defaultColWidth="9.140625" defaultRowHeight="15.75" customHeight="1"/>
  <cols>
    <col min="1" max="1" width="45.140625" style="1" customWidth="1"/>
    <col min="2" max="2" width="16.140625" style="1" customWidth="1"/>
    <col min="3" max="3" width="14.57421875" style="1" customWidth="1"/>
    <col min="4" max="4" width="14.8515625" style="1" customWidth="1"/>
    <col min="5" max="5" width="13.28125" style="1" customWidth="1"/>
    <col min="6" max="6" width="16.00390625" style="1" customWidth="1"/>
    <col min="7" max="7" width="14.57421875" style="1" customWidth="1"/>
    <col min="8" max="8" width="10.7109375" style="1" bestFit="1" customWidth="1"/>
    <col min="9" max="16384" width="9.140625" style="1" customWidth="1"/>
  </cols>
  <sheetData>
    <row r="2" ht="20.25" customHeight="1">
      <c r="F2" s="2" t="s">
        <v>0</v>
      </c>
    </row>
    <row r="3" spans="1:6" s="4" customFormat="1" ht="26.25" customHeight="1">
      <c r="A3" s="166" t="s">
        <v>48</v>
      </c>
      <c r="B3" s="166"/>
      <c r="C3" s="166"/>
      <c r="D3" s="166"/>
      <c r="E3" s="166"/>
      <c r="F3" s="166"/>
    </row>
    <row r="4" spans="1:6" s="4" customFormat="1" ht="18.75" customHeight="1">
      <c r="A4" s="3"/>
      <c r="B4" s="3"/>
      <c r="C4" s="3"/>
      <c r="D4" s="3"/>
      <c r="E4" s="3"/>
      <c r="F4" s="3"/>
    </row>
    <row r="5" ht="15.75" customHeight="1">
      <c r="F5" s="5" t="s">
        <v>29</v>
      </c>
    </row>
    <row r="6" spans="1:6" ht="15.75" customHeight="1">
      <c r="A6" s="167" t="s">
        <v>1</v>
      </c>
      <c r="B6" s="168" t="s">
        <v>44</v>
      </c>
      <c r="C6" s="169" t="s">
        <v>19</v>
      </c>
      <c r="D6" s="171" t="s">
        <v>20</v>
      </c>
      <c r="E6" s="172"/>
      <c r="F6" s="168" t="s">
        <v>43</v>
      </c>
    </row>
    <row r="7" spans="1:6" ht="15.75" customHeight="1">
      <c r="A7" s="167"/>
      <c r="B7" s="168"/>
      <c r="C7" s="170"/>
      <c r="D7" s="6" t="s">
        <v>21</v>
      </c>
      <c r="E7" s="7" t="s">
        <v>39</v>
      </c>
      <c r="F7" s="168"/>
    </row>
    <row r="8" spans="1:11" s="10" customFormat="1" ht="24" customHeight="1">
      <c r="A8" s="8" t="s">
        <v>2</v>
      </c>
      <c r="B8" s="9">
        <f>B9+B21+B31</f>
        <v>1647123.98</v>
      </c>
      <c r="C8" s="9">
        <f>C9+C21+C31</f>
        <v>514767.41000000003</v>
      </c>
      <c r="D8" s="9">
        <f>D9+D21+D31</f>
        <v>180399.69</v>
      </c>
      <c r="E8" s="9">
        <f>E9+E21+E31</f>
        <v>85457.93000000001</v>
      </c>
      <c r="F8" s="9">
        <f>F9+F21+F31</f>
        <v>1942098.280764</v>
      </c>
      <c r="K8" s="11">
        <f>C8/'[1]2012'!C8</f>
        <v>1.2369911054636644</v>
      </c>
    </row>
    <row r="9" spans="1:11" s="10" customFormat="1" ht="15.75" customHeight="1">
      <c r="A9" s="8" t="s">
        <v>3</v>
      </c>
      <c r="B9" s="9">
        <f>B10+B20</f>
        <v>1279484.48</v>
      </c>
      <c r="C9" s="9">
        <f>C10+C20</f>
        <v>403873.96</v>
      </c>
      <c r="D9" s="9">
        <f>D10+D20</f>
        <v>125818.05</v>
      </c>
      <c r="E9" s="9">
        <f>E10+E20</f>
        <v>59996.100000000006</v>
      </c>
      <c r="F9" s="9">
        <f>F10+F20</f>
        <v>1515968.262</v>
      </c>
      <c r="G9" s="12">
        <f>E9+D9</f>
        <v>185814.15000000002</v>
      </c>
      <c r="K9" s="11">
        <f>C9/'[1]2012'!C9</f>
        <v>1.3804353146255597</v>
      </c>
    </row>
    <row r="10" spans="1:7" s="15" customFormat="1" ht="15.75" customHeight="1">
      <c r="A10" s="13" t="s">
        <v>22</v>
      </c>
      <c r="B10" s="14">
        <f>SUM(B11:B19)</f>
        <v>552050.43</v>
      </c>
      <c r="C10" s="14">
        <f>SUM(C11:C19)</f>
        <v>294292.2</v>
      </c>
      <c r="D10" s="14">
        <f>SUM(D11:D19)</f>
        <v>98082.16</v>
      </c>
      <c r="E10" s="14">
        <f>SUM(E11:E19)</f>
        <v>48979.4</v>
      </c>
      <c r="F10" s="14">
        <f>SUM(F11:F19)</f>
        <v>752769.9720000001</v>
      </c>
      <c r="G10" s="12">
        <f>E10+D10</f>
        <v>147061.56</v>
      </c>
    </row>
    <row r="11" spans="1:9" ht="15.75" customHeight="1">
      <c r="A11" s="16" t="s">
        <v>58</v>
      </c>
      <c r="B11" s="17">
        <v>313489.9</v>
      </c>
      <c r="C11" s="18">
        <v>209462.2</v>
      </c>
      <c r="D11" s="18">
        <v>86014.3</v>
      </c>
      <c r="E11" s="18">
        <v>34421.6</v>
      </c>
      <c r="F11" s="19">
        <f>B11+C11-D11</f>
        <v>436937.80000000005</v>
      </c>
      <c r="G11" s="20" t="s">
        <v>51</v>
      </c>
      <c r="H11" s="20">
        <v>3229</v>
      </c>
      <c r="I11" s="20" t="s">
        <v>65</v>
      </c>
    </row>
    <row r="12" spans="1:8" ht="15.75" customHeight="1">
      <c r="A12" s="16" t="s">
        <v>30</v>
      </c>
      <c r="B12" s="17">
        <v>95903</v>
      </c>
      <c r="C12" s="18">
        <v>6223</v>
      </c>
      <c r="D12" s="18">
        <v>11223</v>
      </c>
      <c r="E12" s="18">
        <v>387</v>
      </c>
      <c r="F12" s="19">
        <f>B12+C12-D12</f>
        <v>90903</v>
      </c>
      <c r="G12" s="21" t="s">
        <v>52</v>
      </c>
      <c r="H12" s="20" t="s">
        <v>67</v>
      </c>
    </row>
    <row r="13" spans="1:7" ht="15.75" customHeight="1">
      <c r="A13" s="16" t="s">
        <v>31</v>
      </c>
      <c r="B13" s="17">
        <v>106000</v>
      </c>
      <c r="C13" s="18">
        <v>75000</v>
      </c>
      <c r="D13" s="18"/>
      <c r="E13" s="18">
        <v>12692</v>
      </c>
      <c r="F13" s="19">
        <f>B13+C13-D13</f>
        <v>181000</v>
      </c>
      <c r="G13" s="21" t="s">
        <v>52</v>
      </c>
    </row>
    <row r="14" spans="1:8" s="15" customFormat="1" ht="15.75" customHeight="1">
      <c r="A14" s="16" t="s">
        <v>32</v>
      </c>
      <c r="B14" s="17">
        <f>'[1]2012'!F14</f>
        <v>18107</v>
      </c>
      <c r="C14" s="18">
        <v>3607</v>
      </c>
      <c r="D14" s="18">
        <v>0</v>
      </c>
      <c r="E14" s="18">
        <v>0</v>
      </c>
      <c r="F14" s="19">
        <v>21714.084</v>
      </c>
      <c r="G14" s="21" t="s">
        <v>52</v>
      </c>
      <c r="H14" s="12"/>
    </row>
    <row r="15" spans="1:7" s="15" customFormat="1" ht="15.75" customHeight="1">
      <c r="A15" s="16" t="s">
        <v>42</v>
      </c>
      <c r="B15" s="17">
        <f>'[1]2012'!F16</f>
        <v>6000</v>
      </c>
      <c r="C15" s="18"/>
      <c r="D15" s="18"/>
      <c r="E15" s="18">
        <v>555</v>
      </c>
      <c r="F15" s="19">
        <f>B15+C15-D15</f>
        <v>6000</v>
      </c>
      <c r="G15" s="21" t="s">
        <v>52</v>
      </c>
    </row>
    <row r="16" spans="1:8" s="15" customFormat="1" ht="15.75" customHeight="1">
      <c r="A16" s="16" t="s">
        <v>34</v>
      </c>
      <c r="B16" s="17">
        <f>'[1]2012'!F17</f>
        <v>9540</v>
      </c>
      <c r="C16" s="18"/>
      <c r="D16" s="18"/>
      <c r="E16" s="18">
        <v>314.8</v>
      </c>
      <c r="F16" s="19">
        <v>9540</v>
      </c>
      <c r="G16" s="20" t="s">
        <v>51</v>
      </c>
      <c r="H16" s="22"/>
    </row>
    <row r="17" spans="1:8" s="15" customFormat="1" ht="15.75" customHeight="1">
      <c r="A17" s="16" t="s">
        <v>35</v>
      </c>
      <c r="B17" s="17">
        <f>'[1]2012'!F18</f>
        <v>830</v>
      </c>
      <c r="C17" s="18"/>
      <c r="D17" s="18"/>
      <c r="E17" s="18"/>
      <c r="F17" s="19">
        <v>830</v>
      </c>
      <c r="G17" s="21" t="s">
        <v>52</v>
      </c>
      <c r="H17" s="23"/>
    </row>
    <row r="18" spans="1:7" ht="15.75" customHeight="1">
      <c r="A18" s="16" t="s">
        <v>33</v>
      </c>
      <c r="B18" s="17">
        <f>'[1]2012'!F19</f>
        <v>2180.53</v>
      </c>
      <c r="C18" s="18">
        <v>0</v>
      </c>
      <c r="D18" s="18">
        <v>744.86</v>
      </c>
      <c r="E18" s="18">
        <v>102</v>
      </c>
      <c r="F18" s="19">
        <v>1545.388</v>
      </c>
      <c r="G18" s="24" t="s">
        <v>57</v>
      </c>
    </row>
    <row r="19" spans="1:7" ht="15.75" customHeight="1">
      <c r="A19" s="16" t="s">
        <v>59</v>
      </c>
      <c r="B19" s="17">
        <v>0</v>
      </c>
      <c r="C19" s="18">
        <v>0</v>
      </c>
      <c r="D19" s="18">
        <v>100</v>
      </c>
      <c r="E19" s="18">
        <v>507</v>
      </c>
      <c r="F19" s="19">
        <v>4299.7</v>
      </c>
      <c r="G19" s="24" t="s">
        <v>53</v>
      </c>
    </row>
    <row r="20" spans="1:8" s="15" customFormat="1" ht="15.75" customHeight="1">
      <c r="A20" s="13" t="s">
        <v>23</v>
      </c>
      <c r="B20" s="14">
        <v>727434.05</v>
      </c>
      <c r="C20" s="25">
        <v>109581.76</v>
      </c>
      <c r="D20" s="25">
        <v>27735.89</v>
      </c>
      <c r="E20" s="26">
        <v>11016.7</v>
      </c>
      <c r="F20" s="26">
        <v>763198.29</v>
      </c>
      <c r="G20" s="12">
        <f>E20+D20</f>
        <v>38752.59</v>
      </c>
      <c r="H20" s="12">
        <f>D20+E20</f>
        <v>38752.59</v>
      </c>
    </row>
    <row r="21" spans="1:11" s="30" customFormat="1" ht="15.75" customHeight="1">
      <c r="A21" s="27" t="s">
        <v>4</v>
      </c>
      <c r="B21" s="28">
        <f>'[1]2012'!F21</f>
        <v>343099.5</v>
      </c>
      <c r="C21" s="28">
        <f>C22+C28</f>
        <v>110893.45000000001</v>
      </c>
      <c r="D21" s="28">
        <f>D22+D28</f>
        <v>54581.64</v>
      </c>
      <c r="E21" s="28">
        <f>E22+E28</f>
        <v>25461.829999999998</v>
      </c>
      <c r="F21" s="28">
        <f>F22+F28</f>
        <v>396114.04376399994</v>
      </c>
      <c r="G21" s="29"/>
      <c r="K21" s="11">
        <f>C21/'[1]2012'!C21</f>
        <v>1.052664428254119</v>
      </c>
    </row>
    <row r="22" spans="1:7" s="15" customFormat="1" ht="15.75" customHeight="1">
      <c r="A22" s="13" t="s">
        <v>5</v>
      </c>
      <c r="B22" s="14">
        <f>'[1]2012'!F22</f>
        <v>192471.04</v>
      </c>
      <c r="C22" s="14">
        <f>SUM(C23:C27)</f>
        <v>57081.37</v>
      </c>
      <c r="D22" s="14">
        <f>SUM(D23:D27)</f>
        <v>37921.47</v>
      </c>
      <c r="E22" s="14">
        <f>SUM(E23:E27)</f>
        <v>19556.079999999998</v>
      </c>
      <c r="F22" s="14">
        <f>SUM(F23:F27)</f>
        <v>207576.3</v>
      </c>
      <c r="G22" s="12"/>
    </row>
    <row r="23" spans="1:7" ht="15.75" customHeight="1">
      <c r="A23" s="16" t="s">
        <v>6</v>
      </c>
      <c r="B23" s="17">
        <f>'[1]2012'!F23</f>
        <v>127348.8</v>
      </c>
      <c r="C23" s="31">
        <v>40000</v>
      </c>
      <c r="D23" s="31">
        <v>28188</v>
      </c>
      <c r="E23" s="19">
        <v>14044</v>
      </c>
      <c r="F23" s="19">
        <v>139160.8</v>
      </c>
      <c r="G23" s="24" t="s">
        <v>53</v>
      </c>
    </row>
    <row r="24" spans="1:7" ht="15.75" customHeight="1">
      <c r="A24" s="16" t="s">
        <v>7</v>
      </c>
      <c r="B24" s="17">
        <f>'[1]2012'!F24</f>
        <v>27527</v>
      </c>
      <c r="C24" s="31">
        <v>7380</v>
      </c>
      <c r="D24" s="31">
        <v>5500</v>
      </c>
      <c r="E24" s="19">
        <v>3217.12</v>
      </c>
      <c r="F24" s="19">
        <f>B24+C24-D24</f>
        <v>29407</v>
      </c>
      <c r="G24" s="24" t="s">
        <v>53</v>
      </c>
    </row>
    <row r="25" spans="1:7" ht="15.75" customHeight="1">
      <c r="A25" s="16" t="s">
        <v>50</v>
      </c>
      <c r="B25" s="17">
        <v>4299.7</v>
      </c>
      <c r="C25" s="31"/>
      <c r="D25" s="31"/>
      <c r="E25" s="19"/>
      <c r="F25" s="19">
        <v>0</v>
      </c>
      <c r="G25" s="24" t="s">
        <v>53</v>
      </c>
    </row>
    <row r="26" spans="1:7" ht="15.75" customHeight="1">
      <c r="A26" s="16" t="s">
        <v>45</v>
      </c>
      <c r="B26" s="17">
        <f>'[1]2012'!F26</f>
        <v>32668.54</v>
      </c>
      <c r="C26" s="31">
        <v>6239.37</v>
      </c>
      <c r="D26" s="31">
        <v>4233.47</v>
      </c>
      <c r="E26" s="19">
        <v>2294.96</v>
      </c>
      <c r="F26" s="17">
        <v>34919.5</v>
      </c>
      <c r="G26" s="24" t="s">
        <v>53</v>
      </c>
    </row>
    <row r="27" spans="1:7" ht="15.75" customHeight="1">
      <c r="A27" s="16" t="s">
        <v>49</v>
      </c>
      <c r="B27" s="17">
        <f>'[1]2012'!F27</f>
        <v>627</v>
      </c>
      <c r="C27" s="31">
        <v>3462</v>
      </c>
      <c r="D27" s="31">
        <v>0</v>
      </c>
      <c r="E27" s="19">
        <v>0</v>
      </c>
      <c r="F27" s="17">
        <v>4089</v>
      </c>
      <c r="G27" s="24" t="s">
        <v>53</v>
      </c>
    </row>
    <row r="28" spans="1:7" s="15" customFormat="1" ht="15.75" customHeight="1">
      <c r="A28" s="13" t="s">
        <v>46</v>
      </c>
      <c r="B28" s="14">
        <f>'[1]2012'!F28</f>
        <v>150628.46</v>
      </c>
      <c r="C28" s="32">
        <f>C29+C30</f>
        <v>53812.08</v>
      </c>
      <c r="D28" s="32">
        <f>D29+D30</f>
        <v>16660.17</v>
      </c>
      <c r="E28" s="32">
        <f>E29+E30</f>
        <v>5905.75</v>
      </c>
      <c r="F28" s="32">
        <f>F29+F30</f>
        <v>188537.74376399998</v>
      </c>
      <c r="G28" s="12"/>
    </row>
    <row r="29" spans="1:7" ht="15.75" customHeight="1">
      <c r="A29" s="16" t="s">
        <v>28</v>
      </c>
      <c r="B29" s="17">
        <v>150628</v>
      </c>
      <c r="C29" s="31">
        <v>53812.08</v>
      </c>
      <c r="D29" s="31">
        <v>16660.17</v>
      </c>
      <c r="E29" s="31">
        <v>5905.75</v>
      </c>
      <c r="F29" s="31">
        <v>175352.4</v>
      </c>
      <c r="G29" s="20" t="s">
        <v>54</v>
      </c>
    </row>
    <row r="30" spans="1:7" ht="15.75" customHeight="1">
      <c r="A30" s="16" t="s">
        <v>60</v>
      </c>
      <c r="B30" s="17">
        <v>0</v>
      </c>
      <c r="C30" s="31">
        <v>0</v>
      </c>
      <c r="D30" s="31">
        <v>0</v>
      </c>
      <c r="E30" s="31">
        <v>0</v>
      </c>
      <c r="F30" s="31">
        <f>626.799*21.036</f>
        <v>13185.343764000001</v>
      </c>
      <c r="G30" s="20" t="s">
        <v>54</v>
      </c>
    </row>
    <row r="31" spans="1:11" s="30" customFormat="1" ht="15.75" customHeight="1">
      <c r="A31" s="27" t="s">
        <v>36</v>
      </c>
      <c r="B31" s="28">
        <f>B32+B33+B34</f>
        <v>24540</v>
      </c>
      <c r="C31" s="28">
        <f>C32+C33+C34</f>
        <v>0</v>
      </c>
      <c r="D31" s="28">
        <f>D32+D33+D34</f>
        <v>0</v>
      </c>
      <c r="E31" s="28">
        <f>E32+E33+E34</f>
        <v>0</v>
      </c>
      <c r="F31" s="28">
        <f>F32+F33+F34</f>
        <v>30015.975000000002</v>
      </c>
      <c r="K31" s="11">
        <f>C31/'[1]2012'!C31</f>
        <v>0</v>
      </c>
    </row>
    <row r="32" spans="1:7" ht="15.75" customHeight="1">
      <c r="A32" s="16" t="s">
        <v>30</v>
      </c>
      <c r="B32" s="17">
        <f>'[1]2012'!F30</f>
        <v>11630</v>
      </c>
      <c r="C32" s="18"/>
      <c r="D32" s="18"/>
      <c r="E32" s="19"/>
      <c r="F32" s="19">
        <v>11393.023</v>
      </c>
      <c r="G32" s="20" t="s">
        <v>51</v>
      </c>
    </row>
    <row r="33" spans="1:7" ht="15.75" customHeight="1">
      <c r="A33" s="16" t="s">
        <v>37</v>
      </c>
      <c r="B33" s="17">
        <f>'[1]2012'!F31</f>
        <v>8569</v>
      </c>
      <c r="C33" s="18"/>
      <c r="D33" s="18"/>
      <c r="E33" s="19"/>
      <c r="F33" s="19">
        <v>17019</v>
      </c>
      <c r="G33" s="20" t="s">
        <v>55</v>
      </c>
    </row>
    <row r="34" spans="1:7" ht="15.75" customHeight="1">
      <c r="A34" s="16" t="s">
        <v>38</v>
      </c>
      <c r="B34" s="17">
        <v>4341</v>
      </c>
      <c r="C34" s="18"/>
      <c r="D34" s="18"/>
      <c r="E34" s="19"/>
      <c r="F34" s="19">
        <v>1603.952</v>
      </c>
      <c r="G34" s="24" t="s">
        <v>53</v>
      </c>
    </row>
    <row r="35" spans="1:7" ht="15.75" customHeight="1">
      <c r="A35" s="16"/>
      <c r="B35" s="17"/>
      <c r="C35" s="31"/>
      <c r="D35" s="31"/>
      <c r="E35" s="17"/>
      <c r="F35" s="17"/>
      <c r="G35" s="20"/>
    </row>
    <row r="36" spans="1:6" s="30" customFormat="1" ht="15.75" customHeight="1">
      <c r="A36" s="27" t="s">
        <v>8</v>
      </c>
      <c r="B36" s="28">
        <f>'[1]2012'!F34</f>
        <v>1213737.59684</v>
      </c>
      <c r="C36" s="33">
        <f>C37+C42</f>
        <v>813806.9552600001</v>
      </c>
      <c r="D36" s="33">
        <f>D37+D42</f>
        <v>641403.19004</v>
      </c>
      <c r="E36" s="33">
        <f>E37+E42</f>
        <v>51608.264598</v>
      </c>
      <c r="F36" s="33">
        <f>F37+F42</f>
        <v>1336193.756244</v>
      </c>
    </row>
    <row r="37" spans="1:6" s="30" customFormat="1" ht="15.75" customHeight="1">
      <c r="A37" s="27" t="s">
        <v>9</v>
      </c>
      <c r="B37" s="28">
        <f>'[1]2012'!F35</f>
        <v>1045898.6996</v>
      </c>
      <c r="C37" s="33">
        <f>C38+C39</f>
        <v>254762.42330000002</v>
      </c>
      <c r="D37" s="33">
        <f>D38+D39</f>
        <v>105277.80080000001</v>
      </c>
      <c r="E37" s="33">
        <f>E38+E39</f>
        <v>23656.038</v>
      </c>
      <c r="F37" s="33">
        <f>F38+F39</f>
        <v>1153065.278964</v>
      </c>
    </row>
    <row r="38" spans="1:6" s="15" customFormat="1" ht="15.75" customHeight="1">
      <c r="A38" s="13" t="s">
        <v>10</v>
      </c>
      <c r="B38" s="14">
        <f>'[1]2012'!F36</f>
        <v>727434.05</v>
      </c>
      <c r="C38" s="26">
        <f>C20</f>
        <v>109581.76</v>
      </c>
      <c r="D38" s="26">
        <f>D20</f>
        <v>27735.89</v>
      </c>
      <c r="E38" s="26">
        <f>E20</f>
        <v>11016.7</v>
      </c>
      <c r="F38" s="26">
        <f>F20</f>
        <v>763198.29</v>
      </c>
    </row>
    <row r="39" spans="1:6" s="15" customFormat="1" ht="15.75" customHeight="1">
      <c r="A39" s="13" t="s">
        <v>26</v>
      </c>
      <c r="B39" s="14">
        <f>'[1]2012'!F37</f>
        <v>318464.6496</v>
      </c>
      <c r="C39" s="14">
        <f>SUM(C40:C41)</f>
        <v>145180.66330000001</v>
      </c>
      <c r="D39" s="14">
        <f>SUM(D40:D41)</f>
        <v>77541.91080000001</v>
      </c>
      <c r="E39" s="14">
        <f>SUM(E40:E41)</f>
        <v>12639.338</v>
      </c>
      <c r="F39" s="14">
        <f>SUM(F40:F41)</f>
        <v>389866.988964</v>
      </c>
    </row>
    <row r="40" spans="1:7" ht="15.75" customHeight="1">
      <c r="A40" s="16" t="s">
        <v>24</v>
      </c>
      <c r="B40" s="17">
        <f>'[1]2012'!F38</f>
        <v>150628.46</v>
      </c>
      <c r="C40" s="31">
        <f>2498.95*20.95</f>
        <v>52353.002499999995</v>
      </c>
      <c r="D40" s="31">
        <v>16531.2</v>
      </c>
      <c r="E40" s="31">
        <v>5581.76</v>
      </c>
      <c r="F40" s="31">
        <f>F28</f>
        <v>188537.74376399998</v>
      </c>
      <c r="G40" s="20"/>
    </row>
    <row r="41" spans="1:7" ht="15.75" customHeight="1">
      <c r="A41" s="16" t="s">
        <v>25</v>
      </c>
      <c r="B41" s="17">
        <f>'[1]2012'!F39</f>
        <v>167836.18959999998</v>
      </c>
      <c r="C41" s="31">
        <f>3970.4*21.036+442.4*21.036</f>
        <v>92827.66080000001</v>
      </c>
      <c r="D41" s="31">
        <f>2900.3*21.036</f>
        <v>61010.71080000001</v>
      </c>
      <c r="E41" s="19">
        <f>335.5*21.036</f>
        <v>7057.578</v>
      </c>
      <c r="F41" s="31">
        <f>9570.7*21.036</f>
        <v>201329.24520000003</v>
      </c>
      <c r="G41" s="1" t="s">
        <v>56</v>
      </c>
    </row>
    <row r="42" spans="1:7" s="30" customFormat="1" ht="15.75" customHeight="1">
      <c r="A42" s="27" t="s">
        <v>47</v>
      </c>
      <c r="B42" s="28">
        <f>'[1]2012'!F40</f>
        <v>167838.89724</v>
      </c>
      <c r="C42" s="28">
        <f>C43+C44</f>
        <v>559044.53196</v>
      </c>
      <c r="D42" s="28">
        <f>D43+D44</f>
        <v>536125.38924</v>
      </c>
      <c r="E42" s="28">
        <f>E43+E44</f>
        <v>27952.226598</v>
      </c>
      <c r="F42" s="28">
        <f>F43+F44</f>
        <v>183128.47728</v>
      </c>
      <c r="G42" s="1" t="s">
        <v>56</v>
      </c>
    </row>
    <row r="43" spans="1:6" ht="15.75" customHeight="1">
      <c r="A43" s="16" t="s">
        <v>27</v>
      </c>
      <c r="B43" s="17">
        <f>'[1]2012'!F41</f>
        <v>48205.98944</v>
      </c>
      <c r="C43" s="31">
        <f>11782.12*21.036</f>
        <v>247848.67632000003</v>
      </c>
      <c r="D43" s="31">
        <f>11196.48*21.036</f>
        <v>235529.15328</v>
      </c>
      <c r="E43" s="19">
        <f>C43*5/100</f>
        <v>12392.433816000002</v>
      </c>
      <c r="F43" s="31">
        <f>2880.12*21.036</f>
        <v>60586.204320000004</v>
      </c>
    </row>
    <row r="44" spans="1:6" ht="15.75" customHeight="1">
      <c r="A44" s="16" t="s">
        <v>28</v>
      </c>
      <c r="B44" s="17">
        <f>'[1]2012'!F42</f>
        <v>119632.9078</v>
      </c>
      <c r="C44" s="31">
        <f>14793.49*21.036</f>
        <v>311195.85564</v>
      </c>
      <c r="D44" s="31">
        <f>14289.61*21.036</f>
        <v>300596.23596</v>
      </c>
      <c r="E44" s="31">
        <f>C44*5/100</f>
        <v>15559.792782</v>
      </c>
      <c r="F44" s="31">
        <f>5825.36*21.036</f>
        <v>122542.27296</v>
      </c>
    </row>
    <row r="45" spans="1:6" ht="15.75" customHeight="1">
      <c r="A45" s="16"/>
      <c r="B45" s="34"/>
      <c r="C45" s="34"/>
      <c r="D45" s="34"/>
      <c r="E45" s="34"/>
      <c r="F45" s="34"/>
    </row>
    <row r="46" spans="1:6" ht="15.75" customHeight="1">
      <c r="A46" s="8" t="s">
        <v>11</v>
      </c>
      <c r="B46" s="34"/>
      <c r="C46" s="35"/>
      <c r="D46" s="35"/>
      <c r="E46" s="34"/>
      <c r="F46" s="34"/>
    </row>
    <row r="47" spans="1:6" s="39" customFormat="1" ht="15.75" customHeight="1">
      <c r="A47" s="36" t="s">
        <v>12</v>
      </c>
      <c r="B47" s="37">
        <v>3245419</v>
      </c>
      <c r="C47" s="37"/>
      <c r="D47" s="37"/>
      <c r="E47" s="38"/>
      <c r="F47" s="37">
        <v>3584261</v>
      </c>
    </row>
    <row r="48" spans="1:6" s="39" customFormat="1" ht="15.75" customHeight="1">
      <c r="A48" s="36" t="s">
        <v>13</v>
      </c>
      <c r="B48" s="37">
        <f>(114529+9400)*20.828</f>
        <v>2581193.212</v>
      </c>
      <c r="C48" s="37"/>
      <c r="D48" s="37"/>
      <c r="E48" s="38"/>
      <c r="F48" s="37">
        <f>(132175+10500)*21.036</f>
        <v>3001311.3000000003</v>
      </c>
    </row>
    <row r="49" spans="1:9" s="39" customFormat="1" ht="15.75" customHeight="1">
      <c r="A49" s="36" t="s">
        <v>14</v>
      </c>
      <c r="B49" s="37">
        <v>1058140</v>
      </c>
      <c r="C49" s="37"/>
      <c r="D49" s="37"/>
      <c r="E49" s="38"/>
      <c r="F49" s="40">
        <v>822000</v>
      </c>
      <c r="G49" s="41">
        <f>D9+E9</f>
        <v>185814.15000000002</v>
      </c>
      <c r="H49" s="41">
        <f>G49-17565</f>
        <v>168249.15000000002</v>
      </c>
      <c r="I49" s="39" t="s">
        <v>66</v>
      </c>
    </row>
    <row r="50" spans="1:8" s="10" customFormat="1" ht="15.75" customHeight="1">
      <c r="A50" s="8"/>
      <c r="B50" s="16"/>
      <c r="C50" s="8"/>
      <c r="D50" s="8"/>
      <c r="E50" s="42"/>
      <c r="F50" s="42"/>
      <c r="G50" s="11">
        <f>G49/F49</f>
        <v>0.2260512773722628</v>
      </c>
      <c r="H50" s="11">
        <f>H49/F49</f>
        <v>0.20468266423357667</v>
      </c>
    </row>
    <row r="51" spans="1:6" s="10" customFormat="1" ht="15.75" customHeight="1">
      <c r="A51" s="8" t="s">
        <v>15</v>
      </c>
      <c r="B51" s="16"/>
      <c r="C51" s="8"/>
      <c r="D51" s="8"/>
      <c r="E51" s="43"/>
      <c r="F51" s="44"/>
    </row>
    <row r="52" spans="1:7" s="49" customFormat="1" ht="15.75" customHeight="1">
      <c r="A52" s="45" t="s">
        <v>16</v>
      </c>
      <c r="B52" s="46">
        <f>B8/B47</f>
        <v>0.5075227512996011</v>
      </c>
      <c r="C52" s="45"/>
      <c r="D52" s="45"/>
      <c r="E52" s="47"/>
      <c r="F52" s="46">
        <f>F8/F47</f>
        <v>0.5418406418405356</v>
      </c>
      <c r="G52" s="48">
        <f>F21/F47</f>
        <v>0.11051484357975046</v>
      </c>
    </row>
    <row r="53" spans="1:6" s="49" customFormat="1" ht="15.75" customHeight="1">
      <c r="A53" s="45" t="s">
        <v>17</v>
      </c>
      <c r="B53" s="46">
        <f>B9/B47</f>
        <v>0.39424323330824157</v>
      </c>
      <c r="C53" s="45"/>
      <c r="D53" s="45"/>
      <c r="E53" s="46"/>
      <c r="F53" s="46">
        <f>F9/F47</f>
        <v>0.4229514150894704</v>
      </c>
    </row>
    <row r="54" spans="1:6" s="49" customFormat="1" ht="15.75" customHeight="1">
      <c r="A54" s="45" t="s">
        <v>18</v>
      </c>
      <c r="B54" s="46">
        <f>B36/B47</f>
        <v>0.3739848681603207</v>
      </c>
      <c r="C54" s="45"/>
      <c r="D54" s="45"/>
      <c r="E54" s="46"/>
      <c r="F54" s="46">
        <f>F36/F47</f>
        <v>0.3727947703149966</v>
      </c>
    </row>
    <row r="55" spans="1:6" s="49" customFormat="1" ht="15.75" customHeight="1">
      <c r="A55" s="45" t="s">
        <v>41</v>
      </c>
      <c r="B55" s="46">
        <f>'[1]2011'!K48</f>
        <v>0.1855498325307147</v>
      </c>
      <c r="C55" s="45"/>
      <c r="D55" s="45"/>
      <c r="E55" s="46"/>
      <c r="F55" s="46">
        <f>(D9+E9)/F49</f>
        <v>0.2260512773722628</v>
      </c>
    </row>
    <row r="56" spans="1:6" s="49" customFormat="1" ht="15.75" customHeight="1">
      <c r="A56" s="45" t="s">
        <v>40</v>
      </c>
      <c r="B56" s="50">
        <f>'[1]2011'!K49</f>
        <v>0.3591043802622851</v>
      </c>
      <c r="C56" s="45"/>
      <c r="D56" s="45"/>
      <c r="E56" s="46"/>
      <c r="F56" s="46">
        <f>(D36+E36)/F48</f>
        <v>0.2309028905592032</v>
      </c>
    </row>
    <row r="57" ht="13.5" customHeight="1">
      <c r="A57" s="51" t="s">
        <v>64</v>
      </c>
    </row>
    <row r="58" ht="13.5" customHeight="1">
      <c r="A58" s="51" t="s">
        <v>61</v>
      </c>
    </row>
    <row r="59" ht="13.5" customHeight="1">
      <c r="A59" s="51" t="s">
        <v>62</v>
      </c>
    </row>
    <row r="60" ht="13.5" customHeight="1">
      <c r="A60" s="51" t="s">
        <v>63</v>
      </c>
    </row>
  </sheetData>
  <sheetProtection/>
  <mergeCells count="6">
    <mergeCell ref="A3:F3"/>
    <mergeCell ref="A6:A7"/>
    <mergeCell ref="B6:B7"/>
    <mergeCell ref="C6:C7"/>
    <mergeCell ref="D6:E6"/>
    <mergeCell ref="F6:F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0">
      <selection activeCell="A11" sqref="A11"/>
    </sheetView>
  </sheetViews>
  <sheetFormatPr defaultColWidth="9.140625" defaultRowHeight="15.75" customHeight="1"/>
  <cols>
    <col min="1" max="1" width="54.28125" style="1" customWidth="1"/>
    <col min="2" max="2" width="14.140625" style="1" customWidth="1"/>
    <col min="3" max="3" width="13.421875" style="1" customWidth="1"/>
    <col min="4" max="4" width="13.00390625" style="1" customWidth="1"/>
    <col min="5" max="5" width="12.421875" style="1" customWidth="1"/>
    <col min="6" max="6" width="14.7109375" style="1" customWidth="1"/>
    <col min="7" max="7" width="14.57421875" style="1" customWidth="1"/>
    <col min="8" max="8" width="10.7109375" style="1" bestFit="1" customWidth="1"/>
    <col min="9" max="9" width="9.140625" style="1" customWidth="1"/>
    <col min="10" max="10" width="12.7109375" style="1" bestFit="1" customWidth="1"/>
    <col min="11" max="16384" width="9.140625" style="1" customWidth="1"/>
  </cols>
  <sheetData>
    <row r="2" ht="20.25" customHeight="1">
      <c r="F2" s="2" t="s">
        <v>0</v>
      </c>
    </row>
    <row r="3" spans="1:6" s="4" customFormat="1" ht="26.25" customHeight="1">
      <c r="A3" s="166" t="s">
        <v>68</v>
      </c>
      <c r="B3" s="166"/>
      <c r="C3" s="166"/>
      <c r="D3" s="166"/>
      <c r="E3" s="166"/>
      <c r="F3" s="166"/>
    </row>
    <row r="4" spans="1:6" s="4" customFormat="1" ht="18.75" customHeight="1">
      <c r="A4" s="3"/>
      <c r="B4" s="3"/>
      <c r="C4" s="3"/>
      <c r="D4" s="3"/>
      <c r="E4" s="3"/>
      <c r="F4" s="3"/>
    </row>
    <row r="5" spans="4:6" ht="15.75" customHeight="1">
      <c r="D5" s="20"/>
      <c r="F5" s="5" t="s">
        <v>29</v>
      </c>
    </row>
    <row r="6" spans="1:6" ht="15.75" customHeight="1">
      <c r="A6" s="167" t="s">
        <v>1</v>
      </c>
      <c r="B6" s="168" t="s">
        <v>44</v>
      </c>
      <c r="C6" s="169" t="s">
        <v>19</v>
      </c>
      <c r="D6" s="171" t="s">
        <v>20</v>
      </c>
      <c r="E6" s="172"/>
      <c r="F6" s="168" t="s">
        <v>43</v>
      </c>
    </row>
    <row r="7" spans="1:6" ht="15.75" customHeight="1">
      <c r="A7" s="167"/>
      <c r="B7" s="168"/>
      <c r="C7" s="170"/>
      <c r="D7" s="6" t="s">
        <v>21</v>
      </c>
      <c r="E7" s="7" t="s">
        <v>39</v>
      </c>
      <c r="F7" s="168"/>
    </row>
    <row r="8" spans="1:11" s="10" customFormat="1" ht="24" customHeight="1">
      <c r="A8" s="8" t="s">
        <v>2</v>
      </c>
      <c r="B8" s="54">
        <f>B9+B22+B31</f>
        <v>1942098.280764</v>
      </c>
      <c r="C8" s="54">
        <f>C9+C22+C31</f>
        <v>648762.5480000001</v>
      </c>
      <c r="D8" s="54">
        <f>D9+D22+D31</f>
        <v>245364.474158</v>
      </c>
      <c r="E8" s="54">
        <f>E9+E22+E31</f>
        <v>93660.500382</v>
      </c>
      <c r="F8" s="54">
        <f>F9+F22+F31</f>
        <v>2339045.815764</v>
      </c>
      <c r="K8" s="11">
        <f>C8/'[1]2012'!C8</f>
        <v>1.5589827285957045</v>
      </c>
    </row>
    <row r="9" spans="1:11" s="10" customFormat="1" ht="15.75" customHeight="1">
      <c r="A9" s="8" t="s">
        <v>3</v>
      </c>
      <c r="B9" s="54">
        <f>B10+B21</f>
        <v>1515968.262</v>
      </c>
      <c r="C9" s="54">
        <f>C10+C21</f>
        <v>537840.873</v>
      </c>
      <c r="D9" s="54">
        <f>D10+D21</f>
        <v>191641.504158</v>
      </c>
      <c r="E9" s="54">
        <f>E10+E21</f>
        <v>68618.247382</v>
      </c>
      <c r="F9" s="54">
        <f>F10+F21</f>
        <v>1855956.6720000003</v>
      </c>
      <c r="G9" s="12">
        <f>E9+D9</f>
        <v>260259.75154</v>
      </c>
      <c r="K9" s="11">
        <f>C9/'[1]2012'!C9</f>
        <v>1.8383322726185187</v>
      </c>
    </row>
    <row r="10" spans="1:7" s="15" customFormat="1" ht="15.75" customHeight="1">
      <c r="A10" s="13" t="s">
        <v>22</v>
      </c>
      <c r="B10" s="55">
        <f>SUM(B11:B20)</f>
        <v>752769.9720000001</v>
      </c>
      <c r="C10" s="55">
        <f>SUM(C11:C20)</f>
        <v>405573.9</v>
      </c>
      <c r="D10" s="55">
        <f>SUM(D11:D20)</f>
        <v>152606.802</v>
      </c>
      <c r="E10" s="55">
        <f>SUM(E11:E20)</f>
        <v>57512.602000000006</v>
      </c>
      <c r="F10" s="55">
        <f>SUM(F11:F20)</f>
        <v>1005142.6720000001</v>
      </c>
      <c r="G10" s="12">
        <f>E10+D10</f>
        <v>210119.404</v>
      </c>
    </row>
    <row r="11" spans="1:7" s="15" customFormat="1" ht="15.75" customHeight="1">
      <c r="A11" s="16" t="s">
        <v>69</v>
      </c>
      <c r="B11" s="55">
        <v>45704.9</v>
      </c>
      <c r="C11" s="55">
        <v>26402</v>
      </c>
      <c r="D11" s="55">
        <v>45704.9</v>
      </c>
      <c r="E11" s="55">
        <v>2095.8</v>
      </c>
      <c r="F11" s="56">
        <f>B11+C11-D11</f>
        <v>26401.999999999993</v>
      </c>
      <c r="G11" s="63"/>
    </row>
    <row r="12" spans="1:9" ht="15.75" customHeight="1">
      <c r="A12" s="16" t="s">
        <v>70</v>
      </c>
      <c r="B12" s="57">
        <v>391232.9</v>
      </c>
      <c r="C12" s="58">
        <v>221622</v>
      </c>
      <c r="D12" s="58">
        <v>72670</v>
      </c>
      <c r="E12" s="58">
        <v>36518.4</v>
      </c>
      <c r="F12" s="56">
        <f aca="true" t="shared" si="0" ref="F12:F19">B12+C12-D12</f>
        <v>540184.9</v>
      </c>
      <c r="G12" s="20" t="s">
        <v>51</v>
      </c>
      <c r="H12" s="20">
        <v>3229</v>
      </c>
      <c r="I12" s="20" t="s">
        <v>65</v>
      </c>
    </row>
    <row r="13" spans="1:8" ht="15.75" customHeight="1">
      <c r="A13" s="16" t="s">
        <v>30</v>
      </c>
      <c r="B13" s="57">
        <f>'2013'!F12</f>
        <v>90903</v>
      </c>
      <c r="C13" s="58">
        <v>54822</v>
      </c>
      <c r="D13" s="58">
        <v>25000</v>
      </c>
      <c r="E13" s="58"/>
      <c r="F13" s="56">
        <f t="shared" si="0"/>
        <v>120725</v>
      </c>
      <c r="G13" s="21" t="s">
        <v>52</v>
      </c>
      <c r="H13" s="20" t="s">
        <v>67</v>
      </c>
    </row>
    <row r="14" spans="1:7" ht="15.75" customHeight="1">
      <c r="A14" s="16" t="s">
        <v>31</v>
      </c>
      <c r="B14" s="57">
        <f>'2013'!F13</f>
        <v>181000</v>
      </c>
      <c r="C14" s="58">
        <v>95000</v>
      </c>
      <c r="D14" s="58">
        <v>2000</v>
      </c>
      <c r="E14" s="58">
        <v>17370</v>
      </c>
      <c r="F14" s="56">
        <f t="shared" si="0"/>
        <v>274000</v>
      </c>
      <c r="G14" s="21" t="s">
        <v>52</v>
      </c>
    </row>
    <row r="15" spans="1:8" s="15" customFormat="1" ht="15.75" customHeight="1">
      <c r="A15" s="16" t="s">
        <v>32</v>
      </c>
      <c r="B15" s="57">
        <f>'2013'!F14</f>
        <v>21714.084</v>
      </c>
      <c r="C15" s="58">
        <v>1727.9</v>
      </c>
      <c r="D15" s="58"/>
      <c r="E15" s="58"/>
      <c r="F15" s="56">
        <f t="shared" si="0"/>
        <v>23441.984</v>
      </c>
      <c r="G15" s="21" t="s">
        <v>52</v>
      </c>
      <c r="H15" s="12"/>
    </row>
    <row r="16" spans="1:7" s="15" customFormat="1" ht="15.75" customHeight="1">
      <c r="A16" s="16" t="s">
        <v>42</v>
      </c>
      <c r="B16" s="57">
        <f>'2013'!F15</f>
        <v>6000</v>
      </c>
      <c r="C16" s="58">
        <v>6000</v>
      </c>
      <c r="D16" s="58">
        <v>6000</v>
      </c>
      <c r="E16" s="58">
        <v>554.7</v>
      </c>
      <c r="F16" s="56">
        <f t="shared" si="0"/>
        <v>6000</v>
      </c>
      <c r="G16" s="21" t="s">
        <v>52</v>
      </c>
    </row>
    <row r="17" spans="1:8" s="15" customFormat="1" ht="15.75" customHeight="1">
      <c r="A17" s="16" t="s">
        <v>34</v>
      </c>
      <c r="B17" s="57">
        <f>'2013'!F16</f>
        <v>9540</v>
      </c>
      <c r="C17" s="58"/>
      <c r="D17" s="58"/>
      <c r="E17" s="58">
        <v>314.8</v>
      </c>
      <c r="F17" s="56">
        <f t="shared" si="0"/>
        <v>9540</v>
      </c>
      <c r="G17" s="20" t="s">
        <v>51</v>
      </c>
      <c r="H17" s="22"/>
    </row>
    <row r="18" spans="1:8" s="15" customFormat="1" ht="15.75" customHeight="1">
      <c r="A18" s="16" t="s">
        <v>35</v>
      </c>
      <c r="B18" s="57">
        <f>'2013'!F17</f>
        <v>830</v>
      </c>
      <c r="C18" s="58"/>
      <c r="D18" s="58"/>
      <c r="E18" s="58"/>
      <c r="F18" s="56">
        <f t="shared" si="0"/>
        <v>830</v>
      </c>
      <c r="G18" s="21" t="s">
        <v>52</v>
      </c>
      <c r="H18" s="23"/>
    </row>
    <row r="19" spans="1:7" ht="15.75" customHeight="1">
      <c r="A19" s="16" t="s">
        <v>33</v>
      </c>
      <c r="B19" s="57">
        <f>'2013'!F18</f>
        <v>1545.388</v>
      </c>
      <c r="C19" s="58"/>
      <c r="D19" s="58">
        <v>857</v>
      </c>
      <c r="E19" s="58">
        <v>64</v>
      </c>
      <c r="F19" s="56">
        <f t="shared" si="0"/>
        <v>688.3879999999999</v>
      </c>
      <c r="G19" s="24" t="s">
        <v>57</v>
      </c>
    </row>
    <row r="20" spans="1:7" ht="15.75" customHeight="1">
      <c r="A20" s="16" t="s">
        <v>73</v>
      </c>
      <c r="B20" s="57">
        <v>4299.7</v>
      </c>
      <c r="C20" s="58"/>
      <c r="D20" s="58">
        <v>374.902</v>
      </c>
      <c r="E20" s="58">
        <v>594.902</v>
      </c>
      <c r="F20" s="56">
        <v>3330.4</v>
      </c>
      <c r="G20" s="24" t="s">
        <v>53</v>
      </c>
    </row>
    <row r="21" spans="1:8" s="15" customFormat="1" ht="15.75" customHeight="1">
      <c r="A21" s="13" t="s">
        <v>23</v>
      </c>
      <c r="B21" s="55">
        <f>'2013'!F20</f>
        <v>763198.29</v>
      </c>
      <c r="C21" s="59">
        <f>6225.5*21.246</f>
        <v>132266.973</v>
      </c>
      <c r="D21" s="59">
        <f>1837.273*21.246</f>
        <v>39034.70215799999</v>
      </c>
      <c r="E21" s="60">
        <f>522.717*21.246</f>
        <v>11105.645381999999</v>
      </c>
      <c r="F21" s="60">
        <v>850814</v>
      </c>
      <c r="G21" s="12"/>
      <c r="H21" s="12"/>
    </row>
    <row r="22" spans="1:11" s="30" customFormat="1" ht="15.75" customHeight="1">
      <c r="A22" s="27" t="s">
        <v>4</v>
      </c>
      <c r="B22" s="61">
        <f>B23+B28</f>
        <v>396114.04376399994</v>
      </c>
      <c r="C22" s="61">
        <f>C23+C28</f>
        <v>96915.675</v>
      </c>
      <c r="D22" s="61">
        <f>D23+D28</f>
        <v>45925.97</v>
      </c>
      <c r="E22" s="61">
        <f>E23+E28</f>
        <v>23441.253</v>
      </c>
      <c r="F22" s="61">
        <f>F23+F28</f>
        <v>446864.168764</v>
      </c>
      <c r="G22" s="52"/>
      <c r="K22" s="11">
        <f>C22/'[1]2012'!C21</f>
        <v>0.9199793460545868</v>
      </c>
    </row>
    <row r="23" spans="1:8" s="15" customFormat="1" ht="15.75" customHeight="1">
      <c r="A23" s="13" t="s">
        <v>5</v>
      </c>
      <c r="B23" s="55">
        <f>SUM(B24:B27)</f>
        <v>207576.3</v>
      </c>
      <c r="C23" s="55">
        <f>SUM(C24:C27)</f>
        <v>33177.675</v>
      </c>
      <c r="D23" s="55">
        <f>SUM(D24:D27)</f>
        <v>27131.76</v>
      </c>
      <c r="E23" s="55">
        <f>SUM(E24:E27)</f>
        <v>17783.443</v>
      </c>
      <c r="F23" s="55">
        <f>SUM(F24:F27)</f>
        <v>211925.825</v>
      </c>
      <c r="G23" s="12"/>
      <c r="H23" s="12"/>
    </row>
    <row r="24" spans="1:8" ht="15.75" customHeight="1">
      <c r="A24" s="16" t="s">
        <v>6</v>
      </c>
      <c r="B24" s="57">
        <f>'2013'!F23</f>
        <v>139160.8</v>
      </c>
      <c r="C24" s="34">
        <v>23043.27</v>
      </c>
      <c r="D24" s="34">
        <v>20335.5</v>
      </c>
      <c r="E24" s="56">
        <v>13467.593</v>
      </c>
      <c r="F24" s="56">
        <v>142679</v>
      </c>
      <c r="G24" s="24" t="s">
        <v>53</v>
      </c>
      <c r="H24" s="20"/>
    </row>
    <row r="25" spans="1:7" ht="15.75" customHeight="1">
      <c r="A25" s="16" t="s">
        <v>7</v>
      </c>
      <c r="B25" s="57">
        <f>'2013'!F24</f>
        <v>29407</v>
      </c>
      <c r="C25" s="34">
        <v>4701.825</v>
      </c>
      <c r="D25" s="34">
        <v>5192</v>
      </c>
      <c r="E25" s="56">
        <v>3219</v>
      </c>
      <c r="F25" s="56">
        <f>B25+C25-D25</f>
        <v>28916.824999999997</v>
      </c>
      <c r="G25" s="24" t="s">
        <v>53</v>
      </c>
    </row>
    <row r="26" spans="1:7" ht="15.75" customHeight="1">
      <c r="A26" s="16" t="s">
        <v>45</v>
      </c>
      <c r="B26" s="57">
        <f>'2013'!F26</f>
        <v>34919.5</v>
      </c>
      <c r="C26" s="34">
        <v>5432.58</v>
      </c>
      <c r="D26" s="34">
        <v>1604.26</v>
      </c>
      <c r="E26" s="56">
        <v>1096.85</v>
      </c>
      <c r="F26" s="56">
        <v>36241</v>
      </c>
      <c r="G26" s="24" t="s">
        <v>53</v>
      </c>
    </row>
    <row r="27" spans="1:7" ht="15.75" customHeight="1">
      <c r="A27" s="16" t="s">
        <v>71</v>
      </c>
      <c r="B27" s="57">
        <f>'2013'!F27</f>
        <v>4089</v>
      </c>
      <c r="C27" s="34"/>
      <c r="D27" s="34">
        <v>0</v>
      </c>
      <c r="E27" s="56">
        <v>0</v>
      </c>
      <c r="F27" s="56">
        <f>B27+C27-D27</f>
        <v>4089</v>
      </c>
      <c r="G27" s="24" t="s">
        <v>53</v>
      </c>
    </row>
    <row r="28" spans="1:10" s="15" customFormat="1" ht="15.75" customHeight="1">
      <c r="A28" s="13" t="s">
        <v>46</v>
      </c>
      <c r="B28" s="55">
        <f>SUM(B29:B30)</f>
        <v>188537.74376399998</v>
      </c>
      <c r="C28" s="55">
        <f>SUM(C29:C30)</f>
        <v>63738</v>
      </c>
      <c r="D28" s="55">
        <f>SUM(D29:D30)</f>
        <v>18794.21</v>
      </c>
      <c r="E28" s="55">
        <f>SUM(E29:E30)</f>
        <v>5657.81</v>
      </c>
      <c r="F28" s="55">
        <f>SUM(F29:F30)</f>
        <v>234938.343764</v>
      </c>
      <c r="G28" s="12">
        <f>B28/21.036</f>
        <v>8962.623301197946</v>
      </c>
      <c r="H28" s="23">
        <f>C28/21.246</f>
        <v>3000</v>
      </c>
      <c r="I28" s="23">
        <f>D28/21.246</f>
        <v>884.5999246917066</v>
      </c>
      <c r="J28" s="23">
        <f>G28+H28-I28</f>
        <v>11078.023376506238</v>
      </c>
    </row>
    <row r="29" spans="1:10" ht="15.75" customHeight="1">
      <c r="A29" s="16" t="s">
        <v>28</v>
      </c>
      <c r="B29" s="57">
        <f>'2013'!F29</f>
        <v>175352.4</v>
      </c>
      <c r="C29" s="34">
        <v>63738</v>
      </c>
      <c r="D29" s="34">
        <v>18794.21</v>
      </c>
      <c r="E29" s="34">
        <v>5657.81</v>
      </c>
      <c r="F29" s="34">
        <v>221753</v>
      </c>
      <c r="G29" s="20" t="s">
        <v>54</v>
      </c>
      <c r="J29" s="53">
        <f>J28*21.246</f>
        <v>235363.68465725152</v>
      </c>
    </row>
    <row r="30" spans="1:10" ht="15.75" customHeight="1">
      <c r="A30" s="16" t="s">
        <v>72</v>
      </c>
      <c r="B30" s="57">
        <f>'2013'!F30</f>
        <v>13185.343764000001</v>
      </c>
      <c r="C30" s="34">
        <v>0</v>
      </c>
      <c r="D30" s="34">
        <v>0</v>
      </c>
      <c r="E30" s="34">
        <v>0</v>
      </c>
      <c r="F30" s="34">
        <f>626.799*21.036</f>
        <v>13185.343764000001</v>
      </c>
      <c r="G30" s="20" t="s">
        <v>54</v>
      </c>
      <c r="J30" s="53">
        <f>J29-13185.34</f>
        <v>222178.34465725152</v>
      </c>
    </row>
    <row r="31" spans="1:11" s="30" customFormat="1" ht="15.75" customHeight="1">
      <c r="A31" s="27" t="s">
        <v>36</v>
      </c>
      <c r="B31" s="61">
        <f>B32+B33+B34</f>
        <v>30015.975000000002</v>
      </c>
      <c r="C31" s="61">
        <f>C32+C33+C34</f>
        <v>14006</v>
      </c>
      <c r="D31" s="61">
        <f>D32+D33+D34</f>
        <v>7797</v>
      </c>
      <c r="E31" s="61">
        <f>E32+E33+E34</f>
        <v>1601</v>
      </c>
      <c r="F31" s="61">
        <f>F32+F33+F34</f>
        <v>36224.975</v>
      </c>
      <c r="K31" s="11">
        <f>C31/'[1]2012'!C31</f>
        <v>2.911850311850312</v>
      </c>
    </row>
    <row r="32" spans="1:7" ht="15.75" customHeight="1">
      <c r="A32" s="16" t="s">
        <v>30</v>
      </c>
      <c r="B32" s="57">
        <f>'2013'!F32</f>
        <v>11393.023</v>
      </c>
      <c r="C32" s="58">
        <v>6606</v>
      </c>
      <c r="D32" s="58">
        <v>7397</v>
      </c>
      <c r="E32" s="56"/>
      <c r="F32" s="56">
        <f>B32+C32-D32</f>
        <v>10602.023000000001</v>
      </c>
      <c r="G32" s="20" t="s">
        <v>51</v>
      </c>
    </row>
    <row r="33" spans="1:7" ht="15.75" customHeight="1">
      <c r="A33" s="16" t="s">
        <v>37</v>
      </c>
      <c r="B33" s="57">
        <f>'2013'!F33</f>
        <v>17019</v>
      </c>
      <c r="C33" s="58">
        <v>7400</v>
      </c>
      <c r="D33" s="58">
        <v>400</v>
      </c>
      <c r="E33" s="56">
        <v>1601</v>
      </c>
      <c r="F33" s="56">
        <f>B33+C33-D33</f>
        <v>24019</v>
      </c>
      <c r="G33" s="20" t="s">
        <v>55</v>
      </c>
    </row>
    <row r="34" spans="1:7" ht="15.75" customHeight="1">
      <c r="A34" s="16" t="s">
        <v>38</v>
      </c>
      <c r="B34" s="57">
        <f>'2013'!F34</f>
        <v>1603.952</v>
      </c>
      <c r="C34" s="58"/>
      <c r="D34" s="58"/>
      <c r="E34" s="56"/>
      <c r="F34" s="56">
        <f>B34+C34-D34</f>
        <v>1603.952</v>
      </c>
      <c r="G34" s="24" t="s">
        <v>53</v>
      </c>
    </row>
    <row r="35" spans="1:7" ht="15.75" customHeight="1">
      <c r="A35" s="16"/>
      <c r="B35" s="57"/>
      <c r="C35" s="34"/>
      <c r="D35" s="34"/>
      <c r="E35" s="57"/>
      <c r="F35" s="57"/>
      <c r="G35" s="20"/>
    </row>
    <row r="36" spans="1:6" s="30" customFormat="1" ht="15.75" customHeight="1">
      <c r="A36" s="27" t="s">
        <v>8</v>
      </c>
      <c r="B36" s="61">
        <f>B37+B42</f>
        <v>1336193.756244</v>
      </c>
      <c r="C36" s="61">
        <f>C37+C42</f>
        <v>1103459.8758</v>
      </c>
      <c r="D36" s="61">
        <f>D37+D42</f>
        <v>850725.3829580001</v>
      </c>
      <c r="E36" s="61">
        <f>E37+E42</f>
        <v>30717.612581999998</v>
      </c>
      <c r="F36" s="61">
        <f>F37+F42</f>
        <v>1586780.469844</v>
      </c>
    </row>
    <row r="37" spans="1:6" s="30" customFormat="1" ht="15.75" customHeight="1">
      <c r="A37" s="27" t="s">
        <v>9</v>
      </c>
      <c r="B37" s="61">
        <f>B38+B39</f>
        <v>1153065.278964</v>
      </c>
      <c r="C37" s="61">
        <f>C38+C39</f>
        <v>329408.60699999996</v>
      </c>
      <c r="D37" s="61">
        <f>D38+D39</f>
        <v>111283.84815799998</v>
      </c>
      <c r="E37" s="61">
        <f>E38+E39</f>
        <v>25223.612581999998</v>
      </c>
      <c r="F37" s="61">
        <f>F38+F39</f>
        <v>1369042.258564</v>
      </c>
    </row>
    <row r="38" spans="1:6" s="15" customFormat="1" ht="15.75" customHeight="1">
      <c r="A38" s="13" t="s">
        <v>10</v>
      </c>
      <c r="B38" s="55">
        <f>B21</f>
        <v>763198.29</v>
      </c>
      <c r="C38" s="55">
        <f>C21</f>
        <v>132266.973</v>
      </c>
      <c r="D38" s="55">
        <f>D21</f>
        <v>39034.70215799999</v>
      </c>
      <c r="E38" s="55">
        <f>E21</f>
        <v>11105.645381999999</v>
      </c>
      <c r="F38" s="55">
        <f>F21</f>
        <v>850814</v>
      </c>
    </row>
    <row r="39" spans="1:6" s="15" customFormat="1" ht="15.75" customHeight="1">
      <c r="A39" s="13" t="s">
        <v>26</v>
      </c>
      <c r="B39" s="55">
        <f>B40+B41</f>
        <v>389866.988964</v>
      </c>
      <c r="C39" s="55">
        <f>C40+C41</f>
        <v>197141.634</v>
      </c>
      <c r="D39" s="55">
        <f>D40+D41</f>
        <v>72249.146</v>
      </c>
      <c r="E39" s="55">
        <f>E40+E41</f>
        <v>14117.9672</v>
      </c>
      <c r="F39" s="55">
        <f>F40+F41</f>
        <v>518228.25856399996</v>
      </c>
    </row>
    <row r="40" spans="1:7" ht="15.75" customHeight="1">
      <c r="A40" s="16" t="s">
        <v>24</v>
      </c>
      <c r="B40" s="57">
        <f>B28</f>
        <v>188537.74376399998</v>
      </c>
      <c r="C40" s="57">
        <f>C28</f>
        <v>63738</v>
      </c>
      <c r="D40" s="57">
        <f>D28</f>
        <v>18794.21</v>
      </c>
      <c r="E40" s="57">
        <f>E28</f>
        <v>5657.81</v>
      </c>
      <c r="F40" s="57">
        <f>F28</f>
        <v>234938.343764</v>
      </c>
      <c r="G40" s="20"/>
    </row>
    <row r="41" spans="1:7" ht="15.75" customHeight="1">
      <c r="A41" s="16" t="s">
        <v>25</v>
      </c>
      <c r="B41" s="57">
        <f>'2013'!F41</f>
        <v>201329.24520000003</v>
      </c>
      <c r="C41" s="34">
        <f>6279*21.246</f>
        <v>133403.634</v>
      </c>
      <c r="D41" s="34">
        <f>2516*21.246</f>
        <v>53454.935999999994</v>
      </c>
      <c r="E41" s="56">
        <f>398.2*21.246</f>
        <v>8460.1572</v>
      </c>
      <c r="F41" s="34">
        <f>13333.8*21.246</f>
        <v>283289.91479999997</v>
      </c>
      <c r="G41" s="1" t="s">
        <v>56</v>
      </c>
    </row>
    <row r="42" spans="1:8" s="30" customFormat="1" ht="15.75" customHeight="1">
      <c r="A42" s="27" t="s">
        <v>47</v>
      </c>
      <c r="B42" s="61">
        <f>B43+B44</f>
        <v>183128.47728</v>
      </c>
      <c r="C42" s="61">
        <f>36432.8*21.246</f>
        <v>774051.2688</v>
      </c>
      <c r="D42" s="61">
        <f>34803.8*21.246</f>
        <v>739441.5348</v>
      </c>
      <c r="E42" s="61">
        <v>5494</v>
      </c>
      <c r="F42" s="61">
        <f>B42+C42-D42</f>
        <v>217738.21127999993</v>
      </c>
      <c r="G42" s="1" t="s">
        <v>56</v>
      </c>
      <c r="H42" s="64">
        <f>B42+C42-D42</f>
        <v>217738.21127999993</v>
      </c>
    </row>
    <row r="43" spans="1:6" ht="15.75" customHeight="1" hidden="1">
      <c r="A43" s="16" t="s">
        <v>27</v>
      </c>
      <c r="B43" s="17">
        <f>'2013'!F43</f>
        <v>60586.204320000004</v>
      </c>
      <c r="C43" s="31">
        <f>11782.12*21.036</f>
        <v>247848.67632000003</v>
      </c>
      <c r="D43" s="31">
        <f>11196.48*21.036</f>
        <v>235529.15328</v>
      </c>
      <c r="E43" s="19">
        <f>C43*5/100</f>
        <v>12392.433816000002</v>
      </c>
      <c r="F43" s="31">
        <f>2880.12*21.036</f>
        <v>60586.204320000004</v>
      </c>
    </row>
    <row r="44" spans="1:6" ht="15.75" customHeight="1" hidden="1">
      <c r="A44" s="16" t="s">
        <v>28</v>
      </c>
      <c r="B44" s="17">
        <f>'2013'!F44</f>
        <v>122542.27296</v>
      </c>
      <c r="C44" s="31">
        <f>14793.49*21.036</f>
        <v>311195.85564</v>
      </c>
      <c r="D44" s="31">
        <f>14289.61*21.036</f>
        <v>300596.23596</v>
      </c>
      <c r="E44" s="31">
        <f>C44*5/100</f>
        <v>15559.792782</v>
      </c>
      <c r="F44" s="31">
        <f>5825.36*21.036</f>
        <v>122542.27296</v>
      </c>
    </row>
    <row r="45" spans="1:6" ht="15.75" customHeight="1">
      <c r="A45" s="16"/>
      <c r="B45" s="34"/>
      <c r="C45" s="34"/>
      <c r="D45" s="34"/>
      <c r="E45" s="34"/>
      <c r="F45" s="34"/>
    </row>
    <row r="46" spans="1:6" ht="15.75" customHeight="1">
      <c r="A46" s="8" t="s">
        <v>11</v>
      </c>
      <c r="B46" s="34"/>
      <c r="C46" s="35"/>
      <c r="D46" s="35"/>
      <c r="E46" s="34"/>
      <c r="F46" s="34"/>
    </row>
    <row r="47" spans="1:6" s="39" customFormat="1" ht="15.75" customHeight="1">
      <c r="A47" s="36" t="s">
        <v>12</v>
      </c>
      <c r="B47" s="37">
        <v>3584261</v>
      </c>
      <c r="C47" s="37"/>
      <c r="D47" s="37"/>
      <c r="E47" s="38"/>
      <c r="F47" s="37">
        <v>3937856</v>
      </c>
    </row>
    <row r="48" spans="1:6" s="39" customFormat="1" ht="15.75" customHeight="1">
      <c r="A48" s="36" t="s">
        <v>13</v>
      </c>
      <c r="B48" s="37">
        <f>(114529+9400)*20.828</f>
        <v>2581193.212</v>
      </c>
      <c r="C48" s="37"/>
      <c r="D48" s="37"/>
      <c r="E48" s="38"/>
      <c r="F48" s="37">
        <f>(150000+11000)*21.246</f>
        <v>3420606</v>
      </c>
    </row>
    <row r="49" spans="1:9" s="39" customFormat="1" ht="15.75" customHeight="1">
      <c r="A49" s="36" t="s">
        <v>14</v>
      </c>
      <c r="B49" s="37">
        <v>1058140</v>
      </c>
      <c r="C49" s="37"/>
      <c r="D49" s="37"/>
      <c r="E49" s="38"/>
      <c r="F49" s="40">
        <v>859900</v>
      </c>
      <c r="G49" s="41">
        <f>D9+E9</f>
        <v>260259.75154</v>
      </c>
      <c r="H49" s="41">
        <f>G49-17565</f>
        <v>242694.75154</v>
      </c>
      <c r="I49" s="39" t="s">
        <v>66</v>
      </c>
    </row>
    <row r="50" spans="1:8" s="10" customFormat="1" ht="15.75" customHeight="1">
      <c r="A50" s="8"/>
      <c r="B50" s="16"/>
      <c r="C50" s="8"/>
      <c r="D50" s="8"/>
      <c r="E50" s="42"/>
      <c r="F50" s="42"/>
      <c r="G50" s="11">
        <f>G49/F49</f>
        <v>0.30266281141993256</v>
      </c>
      <c r="H50" s="11">
        <f>H49/F49</f>
        <v>0.2822360176066985</v>
      </c>
    </row>
    <row r="51" spans="1:6" s="10" customFormat="1" ht="15.75" customHeight="1">
      <c r="A51" s="8" t="s">
        <v>15</v>
      </c>
      <c r="B51" s="16"/>
      <c r="C51" s="8"/>
      <c r="D51" s="8"/>
      <c r="E51" s="43"/>
      <c r="F51" s="44"/>
    </row>
    <row r="52" spans="1:7" s="49" customFormat="1" ht="15.75" customHeight="1">
      <c r="A52" s="45" t="s">
        <v>16</v>
      </c>
      <c r="B52" s="46">
        <f>B8/B47</f>
        <v>0.5418406418405356</v>
      </c>
      <c r="C52" s="45"/>
      <c r="D52" s="45"/>
      <c r="E52" s="47"/>
      <c r="F52" s="46">
        <f>F8/F47</f>
        <v>0.5939896775717548</v>
      </c>
      <c r="G52" s="48">
        <f>F22/F47</f>
        <v>0.1134790527545954</v>
      </c>
    </row>
    <row r="53" spans="1:6" s="49" customFormat="1" ht="15.75" customHeight="1">
      <c r="A53" s="45" t="s">
        <v>17</v>
      </c>
      <c r="B53" s="46">
        <f>B9/B47</f>
        <v>0.4229514150894704</v>
      </c>
      <c r="C53" s="45"/>
      <c r="D53" s="45"/>
      <c r="E53" s="46"/>
      <c r="F53" s="46">
        <f>F9/F47</f>
        <v>0.471311462887419</v>
      </c>
    </row>
    <row r="54" spans="1:6" s="49" customFormat="1" ht="15.75" customHeight="1">
      <c r="A54" s="45" t="s">
        <v>18</v>
      </c>
      <c r="B54" s="46">
        <f>B36/B47</f>
        <v>0.3727947703149966</v>
      </c>
      <c r="C54" s="45"/>
      <c r="D54" s="45"/>
      <c r="E54" s="46"/>
      <c r="F54" s="46">
        <f>F36/F47</f>
        <v>0.4029554330691625</v>
      </c>
    </row>
    <row r="55" spans="1:6" s="49" customFormat="1" ht="15.75" customHeight="1">
      <c r="A55" s="45" t="str">
        <f>'2015'!A55</f>
        <v>4.4 Nghĩa vụ trả nợ trực tiếp Chính phủ so thu NSNN</v>
      </c>
      <c r="B55" s="46">
        <v>0.126</v>
      </c>
      <c r="C55" s="45"/>
      <c r="D55" s="45"/>
      <c r="E55" s="46"/>
      <c r="F55" s="46">
        <f>118750/F49</f>
        <v>0.13809745319223166</v>
      </c>
    </row>
    <row r="56" spans="1:6" s="49" customFormat="1" ht="15.75" customHeight="1" hidden="1">
      <c r="A56" s="45" t="s">
        <v>40</v>
      </c>
      <c r="B56" s="50">
        <f>'[1]2011'!K49</f>
        <v>0.3591043802622851</v>
      </c>
      <c r="C56" s="45"/>
      <c r="D56" s="45"/>
      <c r="E56" s="46"/>
      <c r="F56" s="46">
        <f>(D36+E36)/F48</f>
        <v>0.25768620985287405</v>
      </c>
    </row>
    <row r="57" ht="13.5" customHeight="1" hidden="1">
      <c r="A57" s="51" t="s">
        <v>64</v>
      </c>
    </row>
    <row r="58" spans="1:5" ht="13.5" customHeight="1" hidden="1">
      <c r="A58" s="51" t="s">
        <v>61</v>
      </c>
      <c r="C58" s="53"/>
      <c r="D58" s="53"/>
      <c r="E58" s="53"/>
    </row>
    <row r="59" spans="1:5" ht="13.5" customHeight="1" hidden="1">
      <c r="A59" s="51" t="s">
        <v>62</v>
      </c>
      <c r="E59" s="53"/>
    </row>
    <row r="60" ht="13.5" customHeight="1" hidden="1">
      <c r="A60" s="51" t="s">
        <v>63</v>
      </c>
    </row>
    <row r="61" ht="15.75" customHeight="1" hidden="1"/>
    <row r="62" ht="15.75" customHeight="1" hidden="1"/>
    <row r="63" ht="15.75" customHeight="1" hidden="1"/>
  </sheetData>
  <sheetProtection/>
  <mergeCells count="6">
    <mergeCell ref="A3:F3"/>
    <mergeCell ref="A6:A7"/>
    <mergeCell ref="B6:B7"/>
    <mergeCell ref="C6:C7"/>
    <mergeCell ref="D6:E6"/>
    <mergeCell ref="F6:F7"/>
  </mergeCells>
  <printOptions horizontalCentered="1"/>
  <pageMargins left="0.26" right="0.19" top="1" bottom="1" header="0.5" footer="0.5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A11" sqref="A11"/>
    </sheetView>
  </sheetViews>
  <sheetFormatPr defaultColWidth="9.140625" defaultRowHeight="15.75" customHeight="1"/>
  <cols>
    <col min="1" max="1" width="58.57421875" style="1" customWidth="1"/>
    <col min="2" max="2" width="17.28125" style="1" customWidth="1"/>
    <col min="3" max="3" width="16.28125" style="1" customWidth="1"/>
    <col min="4" max="4" width="15.28125" style="1" customWidth="1"/>
    <col min="5" max="5" width="14.421875" style="1" customWidth="1"/>
    <col min="6" max="6" width="18.28125" style="1" customWidth="1"/>
    <col min="7" max="7" width="14.57421875" style="1" customWidth="1"/>
    <col min="8" max="8" width="18.28125" style="1" customWidth="1"/>
    <col min="9" max="9" width="14.28125" style="1" customWidth="1"/>
    <col min="10" max="10" width="14.57421875" style="1" bestFit="1" customWidth="1"/>
    <col min="11" max="11" width="12.7109375" style="1" bestFit="1" customWidth="1"/>
    <col min="12" max="16384" width="9.140625" style="1" customWidth="1"/>
  </cols>
  <sheetData>
    <row r="2" ht="20.25" customHeight="1">
      <c r="F2" s="2" t="s">
        <v>78</v>
      </c>
    </row>
    <row r="3" spans="1:6" s="4" customFormat="1" ht="26.25" customHeight="1">
      <c r="A3" s="166" t="s">
        <v>77</v>
      </c>
      <c r="B3" s="166"/>
      <c r="C3" s="166"/>
      <c r="D3" s="166"/>
      <c r="E3" s="166"/>
      <c r="F3" s="166"/>
    </row>
    <row r="4" spans="1:12" s="4" customFormat="1" ht="18.75" customHeight="1">
      <c r="A4" s="173" t="s">
        <v>81</v>
      </c>
      <c r="B4" s="173"/>
      <c r="C4" s="173"/>
      <c r="D4" s="173"/>
      <c r="E4" s="173"/>
      <c r="F4" s="173"/>
      <c r="G4" s="72"/>
      <c r="H4" s="72"/>
      <c r="I4" s="72"/>
      <c r="J4" s="72"/>
      <c r="K4" s="72"/>
      <c r="L4" s="72"/>
    </row>
    <row r="5" spans="4:6" ht="22.5" customHeight="1">
      <c r="D5" s="20"/>
      <c r="F5" s="5" t="s">
        <v>29</v>
      </c>
    </row>
    <row r="6" spans="1:6" ht="15.75" customHeight="1">
      <c r="A6" s="167" t="s">
        <v>1</v>
      </c>
      <c r="B6" s="168" t="s">
        <v>44</v>
      </c>
      <c r="C6" s="169" t="s">
        <v>19</v>
      </c>
      <c r="D6" s="171" t="s">
        <v>20</v>
      </c>
      <c r="E6" s="172"/>
      <c r="F6" s="168" t="s">
        <v>43</v>
      </c>
    </row>
    <row r="7" spans="1:7" ht="15.75" customHeight="1">
      <c r="A7" s="167"/>
      <c r="B7" s="168"/>
      <c r="C7" s="170"/>
      <c r="D7" s="6" t="s">
        <v>21</v>
      </c>
      <c r="E7" s="7" t="s">
        <v>39</v>
      </c>
      <c r="F7" s="168"/>
      <c r="G7" s="12"/>
    </row>
    <row r="8" spans="1:11" s="10" customFormat="1" ht="24" customHeight="1">
      <c r="A8" s="8" t="s">
        <v>2</v>
      </c>
      <c r="B8" s="54">
        <f>B9+B22+B31</f>
        <v>2334924.640764</v>
      </c>
      <c r="C8" s="54">
        <f>C9+C22+C31</f>
        <v>692503.44</v>
      </c>
      <c r="D8" s="54">
        <f>D9+D22+D31</f>
        <v>289247</v>
      </c>
      <c r="E8" s="54">
        <f>E9+E22+E31</f>
        <v>117720.15000000001</v>
      </c>
      <c r="F8" s="54">
        <f>F9+F22+F31</f>
        <v>2781041.2987277405</v>
      </c>
      <c r="G8" s="70">
        <f>291320-G9</f>
        <v>3958.8499999999767</v>
      </c>
      <c r="K8" s="11">
        <f>C8/'[1]2012'!C8</f>
        <v>1.6640925185667645</v>
      </c>
    </row>
    <row r="9" spans="1:11" s="10" customFormat="1" ht="15.75" customHeight="1">
      <c r="A9" s="8" t="s">
        <v>3</v>
      </c>
      <c r="B9" s="54">
        <f>B10+B21</f>
        <v>1855956.472</v>
      </c>
      <c r="C9" s="54">
        <f>C10+C21</f>
        <v>511900.44</v>
      </c>
      <c r="D9" s="54">
        <f>D10+D21</f>
        <v>199679</v>
      </c>
      <c r="E9" s="54">
        <f>E10+E21</f>
        <v>87682.15000000001</v>
      </c>
      <c r="F9" s="54">
        <f>F10+F21</f>
        <v>2198493.5372286215</v>
      </c>
      <c r="G9" s="12">
        <f>E9+D9</f>
        <v>287361.15</v>
      </c>
      <c r="H9" s="70">
        <f>G9-148470</f>
        <v>138891.15000000002</v>
      </c>
      <c r="I9" s="70">
        <f>H9-18200</f>
        <v>120691.15000000002</v>
      </c>
      <c r="K9" s="11">
        <f>C9/'[1]2012'!C9</f>
        <v>1.7496682503332537</v>
      </c>
    </row>
    <row r="10" spans="1:9" s="15" customFormat="1" ht="15.75" customHeight="1">
      <c r="A10" s="13" t="s">
        <v>22</v>
      </c>
      <c r="B10" s="55">
        <f>SUM(B11:B20)</f>
        <v>1005142.4720000001</v>
      </c>
      <c r="C10" s="55">
        <f>SUM(C11:C20)</f>
        <v>368000</v>
      </c>
      <c r="D10" s="55">
        <f>SUM(D11:D20)</f>
        <v>167922</v>
      </c>
      <c r="E10" s="55">
        <f>SUM(E11:E20)</f>
        <v>72534.15000000001</v>
      </c>
      <c r="F10" s="55">
        <f>SUM(F11:F20)</f>
        <v>1205220.4719999998</v>
      </c>
      <c r="G10" s="12">
        <f>E10+D10</f>
        <v>240456.15000000002</v>
      </c>
      <c r="H10" s="69">
        <f>D10/21.458</f>
        <v>7825.612825053594</v>
      </c>
      <c r="I10" s="69">
        <f>E10/21.458</f>
        <v>3380.2847422872596</v>
      </c>
    </row>
    <row r="11" spans="1:7" s="15" customFormat="1" ht="15.75" customHeight="1">
      <c r="A11" s="16" t="s">
        <v>69</v>
      </c>
      <c r="B11" s="55">
        <f>'2014'!F11</f>
        <v>26401.999999999993</v>
      </c>
      <c r="C11" s="55">
        <v>0</v>
      </c>
      <c r="D11" s="55">
        <v>26402</v>
      </c>
      <c r="E11" s="55"/>
      <c r="F11" s="56">
        <f>B11+C11-D11</f>
        <v>0</v>
      </c>
      <c r="G11" s="12">
        <f>E11+E12</f>
        <v>44548.3</v>
      </c>
    </row>
    <row r="12" spans="1:9" ht="15.75" customHeight="1">
      <c r="A12" s="16" t="s">
        <v>70</v>
      </c>
      <c r="B12" s="55">
        <f>'2014'!F12</f>
        <v>540184.9</v>
      </c>
      <c r="C12" s="58">
        <v>250000</v>
      </c>
      <c r="D12" s="58">
        <f>164226-26402</f>
        <v>137824</v>
      </c>
      <c r="E12" s="58">
        <v>44548.3</v>
      </c>
      <c r="F12" s="56">
        <f aca="true" t="shared" si="0" ref="F12:F20">B12+C12-D12</f>
        <v>652360.9</v>
      </c>
      <c r="G12" s="20" t="s">
        <v>51</v>
      </c>
      <c r="H12" s="20">
        <v>3229</v>
      </c>
      <c r="I12" s="20" t="s">
        <v>65</v>
      </c>
    </row>
    <row r="13" spans="1:8" ht="15.75" customHeight="1">
      <c r="A13" s="16" t="s">
        <v>30</v>
      </c>
      <c r="B13" s="55">
        <f>'2014'!F13</f>
        <v>120725</v>
      </c>
      <c r="C13" s="58"/>
      <c r="D13" s="58"/>
      <c r="E13" s="58">
        <f>B13*1.8/100</f>
        <v>2173.05</v>
      </c>
      <c r="F13" s="56">
        <f t="shared" si="0"/>
        <v>120725</v>
      </c>
      <c r="G13" s="21" t="s">
        <v>52</v>
      </c>
      <c r="H13" s="20" t="s">
        <v>67</v>
      </c>
    </row>
    <row r="14" spans="1:7" ht="15.75" customHeight="1">
      <c r="A14" s="16" t="s">
        <v>31</v>
      </c>
      <c r="B14" s="55">
        <f>'2014'!F14</f>
        <v>274000</v>
      </c>
      <c r="C14" s="58">
        <v>95000</v>
      </c>
      <c r="D14" s="58">
        <v>2000</v>
      </c>
      <c r="E14" s="58">
        <v>24808.6</v>
      </c>
      <c r="F14" s="56">
        <f t="shared" si="0"/>
        <v>367000</v>
      </c>
      <c r="G14" s="21" t="s">
        <v>52</v>
      </c>
    </row>
    <row r="15" spans="1:8" s="15" customFormat="1" ht="15.75" customHeight="1">
      <c r="A15" s="16" t="s">
        <v>32</v>
      </c>
      <c r="B15" s="55">
        <f>'2014'!F15</f>
        <v>23441.984</v>
      </c>
      <c r="C15" s="58">
        <v>8000</v>
      </c>
      <c r="D15" s="58"/>
      <c r="E15" s="58"/>
      <c r="F15" s="56">
        <f t="shared" si="0"/>
        <v>31441.984</v>
      </c>
      <c r="G15" s="21" t="s">
        <v>52</v>
      </c>
      <c r="H15" s="12"/>
    </row>
    <row r="16" spans="1:8" s="15" customFormat="1" ht="15.75" customHeight="1">
      <c r="A16" s="16" t="s">
        <v>42</v>
      </c>
      <c r="B16" s="55">
        <f>'2014'!F16</f>
        <v>6000</v>
      </c>
      <c r="C16" s="58">
        <v>15000</v>
      </c>
      <c r="D16" s="58"/>
      <c r="E16" s="58">
        <v>310.4</v>
      </c>
      <c r="F16" s="56">
        <f>B16+C16-D16</f>
        <v>21000</v>
      </c>
      <c r="G16" s="21" t="s">
        <v>52</v>
      </c>
      <c r="H16" s="62"/>
    </row>
    <row r="17" spans="1:11" s="15" customFormat="1" ht="15.75" customHeight="1">
      <c r="A17" s="16" t="s">
        <v>34</v>
      </c>
      <c r="B17" s="55">
        <f>'2014'!F17</f>
        <v>9540</v>
      </c>
      <c r="C17" s="58"/>
      <c r="D17" s="58"/>
      <c r="E17" s="58">
        <v>314.8</v>
      </c>
      <c r="F17" s="56">
        <f t="shared" si="0"/>
        <v>9540</v>
      </c>
      <c r="G17" s="20" t="s">
        <v>51</v>
      </c>
      <c r="H17" s="22">
        <f>D9+E9</f>
        <v>287361.15</v>
      </c>
      <c r="I17" s="15">
        <f>21.458</f>
        <v>21.458</v>
      </c>
      <c r="J17" s="15">
        <f>I17*1/100</f>
        <v>0.21458</v>
      </c>
      <c r="K17" s="15">
        <f>J17+I17</f>
        <v>21.67258</v>
      </c>
    </row>
    <row r="18" spans="1:10" s="15" customFormat="1" ht="15.75" customHeight="1">
      <c r="A18" s="16" t="s">
        <v>35</v>
      </c>
      <c r="B18" s="55">
        <f>'2014'!F18</f>
        <v>830</v>
      </c>
      <c r="C18" s="58"/>
      <c r="D18" s="58"/>
      <c r="E18" s="58"/>
      <c r="F18" s="56">
        <f t="shared" si="0"/>
        <v>830</v>
      </c>
      <c r="G18" s="21" t="s">
        <v>52</v>
      </c>
      <c r="H18" s="23">
        <f>H17-148400-18200</f>
        <v>120761.15000000002</v>
      </c>
      <c r="I18" s="12">
        <f>I19*21.672</f>
        <v>-313.78065823781844</v>
      </c>
      <c r="J18" s="15" t="s">
        <v>80</v>
      </c>
    </row>
    <row r="19" spans="1:9" ht="15.75" customHeight="1">
      <c r="A19" s="16" t="s">
        <v>33</v>
      </c>
      <c r="B19" s="55">
        <f>'2014'!F19</f>
        <v>688.3879999999999</v>
      </c>
      <c r="C19" s="58"/>
      <c r="D19" s="58">
        <v>688</v>
      </c>
      <c r="E19" s="58">
        <v>34</v>
      </c>
      <c r="F19" s="56">
        <f t="shared" si="0"/>
        <v>0.38799999999991996</v>
      </c>
      <c r="G19" s="24" t="s">
        <v>57</v>
      </c>
      <c r="I19" s="20">
        <f>I21-I20</f>
        <v>-14.47862025829727</v>
      </c>
    </row>
    <row r="20" spans="1:9" ht="15.75" customHeight="1">
      <c r="A20" s="16" t="s">
        <v>73</v>
      </c>
      <c r="B20" s="55">
        <v>3330.2</v>
      </c>
      <c r="C20" s="58"/>
      <c r="D20" s="58">
        <v>1008</v>
      </c>
      <c r="E20" s="58">
        <v>345</v>
      </c>
      <c r="F20" s="56">
        <f t="shared" si="0"/>
        <v>2322.2</v>
      </c>
      <c r="G20" s="24" t="s">
        <v>53</v>
      </c>
      <c r="H20" s="20">
        <f>E20+D20</f>
        <v>1353</v>
      </c>
      <c r="I20" s="20">
        <f>D21/21.458</f>
        <v>1479.9608537608353</v>
      </c>
    </row>
    <row r="21" spans="1:11" s="15" customFormat="1" ht="15.75" customHeight="1">
      <c r="A21" s="13" t="s">
        <v>23</v>
      </c>
      <c r="B21" s="55">
        <f>'2014'!F21</f>
        <v>850814</v>
      </c>
      <c r="C21" s="59">
        <v>143900.44</v>
      </c>
      <c r="D21" s="59">
        <v>31757</v>
      </c>
      <c r="E21" s="60">
        <v>15148</v>
      </c>
      <c r="F21" s="60">
        <v>993273.0652286218</v>
      </c>
      <c r="G21" s="12">
        <f>B21/21.246</f>
        <v>40045.84392356208</v>
      </c>
      <c r="H21" s="71">
        <f>G21+6712</f>
        <v>46757.84392356208</v>
      </c>
      <c r="I21" s="69">
        <f>D21/21.67</f>
        <v>1465.482233502538</v>
      </c>
      <c r="J21" s="69">
        <f>H21-I21</f>
        <v>45292.361690059544</v>
      </c>
      <c r="K21" s="23">
        <f>J21*21.735</f>
        <v>984429.4813334441</v>
      </c>
    </row>
    <row r="22" spans="1:11" s="30" customFormat="1" ht="15.75" customHeight="1">
      <c r="A22" s="27" t="s">
        <v>4</v>
      </c>
      <c r="B22" s="61">
        <f>B23+B28</f>
        <v>446864.168764</v>
      </c>
      <c r="C22" s="61">
        <f>C23+C28</f>
        <v>135603</v>
      </c>
      <c r="D22" s="61">
        <f>D23+D28</f>
        <v>83568</v>
      </c>
      <c r="E22" s="61">
        <f>E23+E28</f>
        <v>27938</v>
      </c>
      <c r="F22" s="61">
        <f>F23+F28</f>
        <v>511443.76149911917</v>
      </c>
      <c r="G22" s="52">
        <f>E21+D21</f>
        <v>46905</v>
      </c>
      <c r="H22" s="64">
        <f>C21/21.458</f>
        <v>6706.14409544226</v>
      </c>
      <c r="I22" s="64">
        <f>D21/21.458</f>
        <v>1479.9608537608353</v>
      </c>
      <c r="J22" s="65">
        <f>G22+H22-I22</f>
        <v>52131.18324168142</v>
      </c>
      <c r="K22" s="11">
        <f>C22/'[1]2012'!C21</f>
        <v>1.2872216931166205</v>
      </c>
    </row>
    <row r="23" spans="1:10" s="15" customFormat="1" ht="15.75" customHeight="1">
      <c r="A23" s="13" t="s">
        <v>5</v>
      </c>
      <c r="B23" s="55">
        <f>SUM(B24:B27)</f>
        <v>211925.825</v>
      </c>
      <c r="C23" s="55">
        <f>SUM(C24:C27)</f>
        <v>60500</v>
      </c>
      <c r="D23" s="55">
        <f>SUM(D24:D27)</f>
        <v>62110</v>
      </c>
      <c r="E23" s="55">
        <f>SUM(E24:E27)</f>
        <v>16529</v>
      </c>
      <c r="F23" s="55">
        <f>SUM(F24:F27)</f>
        <v>211134.76149911917</v>
      </c>
      <c r="G23" s="12"/>
      <c r="H23" s="12"/>
      <c r="J23" s="23">
        <f>J22*21.458</f>
        <v>1118630.93</v>
      </c>
    </row>
    <row r="24" spans="1:10" ht="15.75" customHeight="1">
      <c r="A24" s="16" t="s">
        <v>6</v>
      </c>
      <c r="B24" s="57">
        <f>'2014'!F24</f>
        <v>142679</v>
      </c>
      <c r="C24" s="34">
        <v>33000</v>
      </c>
      <c r="D24" s="34">
        <v>47210</v>
      </c>
      <c r="E24" s="56">
        <v>12059</v>
      </c>
      <c r="F24" s="56">
        <f>B24+C24-D24</f>
        <v>128469</v>
      </c>
      <c r="G24" s="24" t="s">
        <v>53</v>
      </c>
      <c r="H24" s="20">
        <f>B24*8.5/100</f>
        <v>12127.715</v>
      </c>
      <c r="J24" s="1">
        <f>21.458+21.458*2/100</f>
        <v>21.887159999999998</v>
      </c>
    </row>
    <row r="25" spans="1:10" ht="15.75" customHeight="1">
      <c r="A25" s="16" t="s">
        <v>7</v>
      </c>
      <c r="B25" s="57">
        <f>'2014'!F25</f>
        <v>28916.824999999997</v>
      </c>
      <c r="C25" s="34">
        <v>15000</v>
      </c>
      <c r="D25" s="34">
        <f>10000</f>
        <v>10000</v>
      </c>
      <c r="E25" s="56">
        <v>2500</v>
      </c>
      <c r="F25" s="56">
        <f>B25+C25-D25</f>
        <v>33916.825</v>
      </c>
      <c r="G25" s="24" t="s">
        <v>53</v>
      </c>
      <c r="H25" s="20">
        <f>B25*8.5/100</f>
        <v>2457.930125</v>
      </c>
      <c r="J25" s="53">
        <f>J22*J24</f>
        <v>1141003.5485999999</v>
      </c>
    </row>
    <row r="26" spans="1:11" ht="15.75" customHeight="1">
      <c r="A26" s="16" t="s">
        <v>45</v>
      </c>
      <c r="B26" s="57">
        <f>'2014'!F26</f>
        <v>36241</v>
      </c>
      <c r="C26" s="34">
        <v>12500</v>
      </c>
      <c r="D26" s="34">
        <v>4900</v>
      </c>
      <c r="E26" s="56">
        <v>1970</v>
      </c>
      <c r="F26" s="56">
        <f>K26</f>
        <v>44659.93649911914</v>
      </c>
      <c r="G26" s="12">
        <f>B26/21.246</f>
        <v>1705.7799115127555</v>
      </c>
      <c r="H26" s="23">
        <f>C26/21.458</f>
        <v>582.5333209059559</v>
      </c>
      <c r="I26" s="23">
        <f>D26/21.458</f>
        <v>228.3530617951347</v>
      </c>
      <c r="J26" s="23">
        <f>G26+H26-I26</f>
        <v>2059.9601706235767</v>
      </c>
      <c r="K26" s="53">
        <f>J26*21.68</f>
        <v>44659.93649911914</v>
      </c>
    </row>
    <row r="27" spans="1:10" ht="15.75" customHeight="1">
      <c r="A27" s="16" t="s">
        <v>71</v>
      </c>
      <c r="B27" s="57">
        <f>'2014'!F27</f>
        <v>4089</v>
      </c>
      <c r="C27" s="34"/>
      <c r="D27" s="34">
        <v>0</v>
      </c>
      <c r="E27" s="56">
        <v>0</v>
      </c>
      <c r="F27" s="56">
        <f>B27+C27-D27</f>
        <v>4089</v>
      </c>
      <c r="G27" s="24" t="s">
        <v>53</v>
      </c>
      <c r="J27" s="53">
        <f>J26*J24</f>
        <v>45086.67784806552</v>
      </c>
    </row>
    <row r="28" spans="1:10" s="15" customFormat="1" ht="15.75" customHeight="1">
      <c r="A28" s="13" t="s">
        <v>46</v>
      </c>
      <c r="B28" s="55">
        <f>SUM(B29:B30)</f>
        <v>234938.343764</v>
      </c>
      <c r="C28" s="55">
        <f>SUM(C29:C30)</f>
        <v>75103</v>
      </c>
      <c r="D28" s="55">
        <f>SUM(D29:D30)</f>
        <v>21458</v>
      </c>
      <c r="E28" s="55">
        <f>SUM(E29:E30)</f>
        <v>11409</v>
      </c>
      <c r="F28" s="55">
        <f>SUM(F29:F30)</f>
        <v>300309</v>
      </c>
      <c r="G28" s="12">
        <f>B28/21.246</f>
        <v>11058.00356603596</v>
      </c>
      <c r="H28" s="23">
        <f aca="true" t="shared" si="1" ref="H28:I30">C28/21.458</f>
        <v>3500.0000000000005</v>
      </c>
      <c r="I28" s="23">
        <f t="shared" si="1"/>
        <v>1000.0000000000001</v>
      </c>
      <c r="J28" s="23">
        <f>G28+H28-I28</f>
        <v>13558.00356603596</v>
      </c>
    </row>
    <row r="29" spans="1:11" ht="15.75" customHeight="1">
      <c r="A29" s="16" t="s">
        <v>28</v>
      </c>
      <c r="B29" s="57">
        <f>'2014'!F29</f>
        <v>221753</v>
      </c>
      <c r="C29" s="34">
        <f>3500*21.458</f>
        <v>75103</v>
      </c>
      <c r="D29" s="34">
        <f>1000*21.458</f>
        <v>21458</v>
      </c>
      <c r="E29" s="34">
        <v>11409</v>
      </c>
      <c r="F29" s="34">
        <f>282622+4000</f>
        <v>286622</v>
      </c>
      <c r="G29" s="12">
        <f>B29/21.246</f>
        <v>10437.399981172928</v>
      </c>
      <c r="H29" s="23">
        <f t="shared" si="1"/>
        <v>3500.0000000000005</v>
      </c>
      <c r="I29" s="23">
        <f t="shared" si="1"/>
        <v>1000.0000000000001</v>
      </c>
      <c r="J29" s="23">
        <f>G29+H29-I29</f>
        <v>12937.399981172928</v>
      </c>
      <c r="K29" s="53">
        <f>J29*21.7</f>
        <v>280741.57959145255</v>
      </c>
    </row>
    <row r="30" spans="1:11" ht="15.75" customHeight="1">
      <c r="A30" s="16" t="s">
        <v>72</v>
      </c>
      <c r="B30" s="57">
        <f>'2014'!F30</f>
        <v>13185.343764000001</v>
      </c>
      <c r="C30" s="34">
        <v>0</v>
      </c>
      <c r="D30" s="34">
        <v>0</v>
      </c>
      <c r="E30" s="34">
        <v>0</v>
      </c>
      <c r="F30" s="34">
        <v>13687</v>
      </c>
      <c r="G30" s="12">
        <v>627</v>
      </c>
      <c r="H30" s="23">
        <f t="shared" si="1"/>
        <v>0</v>
      </c>
      <c r="I30" s="23">
        <f t="shared" si="1"/>
        <v>0</v>
      </c>
      <c r="J30" s="23">
        <f>G30+H30-I30</f>
        <v>627</v>
      </c>
      <c r="K30" s="53">
        <f>J30*21.7</f>
        <v>13605.9</v>
      </c>
    </row>
    <row r="31" spans="1:11" s="30" customFormat="1" ht="15.75" customHeight="1">
      <c r="A31" s="27" t="s">
        <v>36</v>
      </c>
      <c r="B31" s="61">
        <v>32104</v>
      </c>
      <c r="C31" s="61">
        <v>45000</v>
      </c>
      <c r="D31" s="61">
        <v>6000</v>
      </c>
      <c r="E31" s="61">
        <v>2100</v>
      </c>
      <c r="F31" s="61">
        <f>B31+C31-D31</f>
        <v>71104</v>
      </c>
      <c r="G31" s="64">
        <f>C26-D26</f>
        <v>7600</v>
      </c>
      <c r="K31" s="11"/>
    </row>
    <row r="32" spans="1:7" ht="15.75" customHeight="1" hidden="1">
      <c r="A32" s="16" t="s">
        <v>30</v>
      </c>
      <c r="B32" s="57">
        <f>'2014'!F32</f>
        <v>10602.023000000001</v>
      </c>
      <c r="C32" s="58">
        <v>3666.23</v>
      </c>
      <c r="D32" s="58">
        <v>6974.4</v>
      </c>
      <c r="E32" s="56"/>
      <c r="F32" s="56">
        <f>B32+C32-D32</f>
        <v>7293.853000000001</v>
      </c>
      <c r="G32" s="20" t="s">
        <v>51</v>
      </c>
    </row>
    <row r="33" spans="1:7" ht="15.75" customHeight="1" hidden="1">
      <c r="A33" s="16" t="s">
        <v>37</v>
      </c>
      <c r="B33" s="57">
        <f>'2014'!F33</f>
        <v>24019</v>
      </c>
      <c r="C33" s="58">
        <v>7400</v>
      </c>
      <c r="D33" s="58">
        <v>400</v>
      </c>
      <c r="E33" s="56">
        <v>1601</v>
      </c>
      <c r="F33" s="56">
        <f>B33+C33-D33</f>
        <v>31019</v>
      </c>
      <c r="G33" s="20" t="s">
        <v>55</v>
      </c>
    </row>
    <row r="34" spans="1:7" ht="15.75" customHeight="1" hidden="1">
      <c r="A34" s="16" t="s">
        <v>38</v>
      </c>
      <c r="B34" s="57">
        <f>'2014'!F34</f>
        <v>1603.952</v>
      </c>
      <c r="C34" s="58"/>
      <c r="D34" s="58"/>
      <c r="E34" s="56"/>
      <c r="F34" s="56">
        <f>B34+C34-D34</f>
        <v>1603.952</v>
      </c>
      <c r="G34" s="24" t="s">
        <v>53</v>
      </c>
    </row>
    <row r="35" spans="1:7" ht="15.75" customHeight="1">
      <c r="A35" s="16"/>
      <c r="B35" s="57"/>
      <c r="C35" s="34"/>
      <c r="D35" s="34"/>
      <c r="E35" s="57"/>
      <c r="F35" s="57"/>
      <c r="G35" s="20"/>
    </row>
    <row r="36" spans="1:8" s="30" customFormat="1" ht="15.75" customHeight="1">
      <c r="A36" s="27" t="s">
        <v>8</v>
      </c>
      <c r="B36" s="61">
        <f>B37+B42</f>
        <v>1586780.469844</v>
      </c>
      <c r="C36" s="61">
        <f>C37+C42</f>
        <v>1109510.44</v>
      </c>
      <c r="D36" s="61">
        <f>D37+D42</f>
        <v>790297.2999999999</v>
      </c>
      <c r="E36" s="61">
        <f>E37+E42</f>
        <v>45007</v>
      </c>
      <c r="F36" s="61">
        <f>F37+F42</f>
        <v>1954430.9765086218</v>
      </c>
      <c r="H36" s="30">
        <f>4000/3763</f>
        <v>1.0629816635663034</v>
      </c>
    </row>
    <row r="37" spans="1:8" s="30" customFormat="1" ht="15.75" customHeight="1">
      <c r="A37" s="27" t="s">
        <v>9</v>
      </c>
      <c r="B37" s="61">
        <f>B38+B39</f>
        <v>1369042.258564</v>
      </c>
      <c r="C37" s="61">
        <f>C38+C39</f>
        <v>388521.64</v>
      </c>
      <c r="D37" s="61">
        <f>D38+D39</f>
        <v>104714.2</v>
      </c>
      <c r="E37" s="61">
        <f>E38+E39</f>
        <v>37907</v>
      </c>
      <c r="F37" s="61">
        <f>F38+F39</f>
        <v>1701287.065228622</v>
      </c>
      <c r="H37" s="30">
        <f>5500/3763</f>
        <v>1.4615997874036672</v>
      </c>
    </row>
    <row r="38" spans="1:8" s="15" customFormat="1" ht="15.75" customHeight="1">
      <c r="A38" s="13" t="s">
        <v>10</v>
      </c>
      <c r="B38" s="55">
        <f>B21</f>
        <v>850814</v>
      </c>
      <c r="C38" s="55">
        <f>C21</f>
        <v>143900.44</v>
      </c>
      <c r="D38" s="55">
        <f>D21</f>
        <v>31757</v>
      </c>
      <c r="E38" s="55">
        <f>E21</f>
        <v>15148</v>
      </c>
      <c r="F38" s="55">
        <f>F21</f>
        <v>993273.0652286218</v>
      </c>
      <c r="G38" s="15">
        <f>1500*21.458</f>
        <v>32186.999999999996</v>
      </c>
      <c r="H38" s="15">
        <f>5500/7200</f>
        <v>0.7638888888888888</v>
      </c>
    </row>
    <row r="39" spans="1:10" s="15" customFormat="1" ht="15.75" customHeight="1">
      <c r="A39" s="13" t="s">
        <v>26</v>
      </c>
      <c r="B39" s="55">
        <f>B40+B41</f>
        <v>518228.25856399996</v>
      </c>
      <c r="C39" s="55">
        <f>C40+C41</f>
        <v>244621.19999999998</v>
      </c>
      <c r="D39" s="55">
        <f>D40+D41</f>
        <v>72957.2</v>
      </c>
      <c r="E39" s="55">
        <f>E40+E41</f>
        <v>22759</v>
      </c>
      <c r="F39" s="55">
        <f>F40+F41</f>
        <v>708014</v>
      </c>
      <c r="J39" s="12">
        <f>J40*21.8</f>
        <v>407705.02109423064</v>
      </c>
    </row>
    <row r="40" spans="1:10" ht="15.75" customHeight="1">
      <c r="A40" s="16" t="s">
        <v>24</v>
      </c>
      <c r="B40" s="57">
        <f>B28</f>
        <v>234938.343764</v>
      </c>
      <c r="C40" s="57">
        <f>C28</f>
        <v>75103</v>
      </c>
      <c r="D40" s="57">
        <f>D28</f>
        <v>21458</v>
      </c>
      <c r="E40" s="57">
        <f>E28</f>
        <v>11409</v>
      </c>
      <c r="F40" s="57">
        <f>F28</f>
        <v>300309</v>
      </c>
      <c r="G40" s="20">
        <f>B41/21.458</f>
        <v>13202.065187808743</v>
      </c>
      <c r="H40" s="20">
        <f>C41/21.458</f>
        <v>7900</v>
      </c>
      <c r="I40" s="20">
        <f>D41/21.458</f>
        <v>2400</v>
      </c>
      <c r="J40" s="20">
        <f>G40+H40-I40</f>
        <v>18702.065187808745</v>
      </c>
    </row>
    <row r="41" spans="1:10" ht="15.75" customHeight="1">
      <c r="A41" s="16" t="s">
        <v>25</v>
      </c>
      <c r="B41" s="57">
        <f>'2014'!F41</f>
        <v>283289.91479999997</v>
      </c>
      <c r="C41" s="34">
        <f>7900*21.458</f>
        <v>169518.19999999998</v>
      </c>
      <c r="D41" s="34">
        <f>2400*21.458</f>
        <v>51499.2</v>
      </c>
      <c r="E41" s="56">
        <v>11350</v>
      </c>
      <c r="F41" s="34">
        <v>407705</v>
      </c>
      <c r="G41" s="1" t="s">
        <v>56</v>
      </c>
      <c r="H41" s="67" t="s">
        <v>75</v>
      </c>
      <c r="I41" s="68">
        <f>7600-2400</f>
        <v>5200</v>
      </c>
      <c r="J41" s="1" t="s">
        <v>76</v>
      </c>
    </row>
    <row r="42" spans="1:8" s="30" customFormat="1" ht="15.75" customHeight="1">
      <c r="A42" s="27" t="s">
        <v>47</v>
      </c>
      <c r="B42" s="61">
        <f>'2014'!F42</f>
        <v>217738.21127999993</v>
      </c>
      <c r="C42" s="61">
        <f>33600*21.458</f>
        <v>720988.7999999999</v>
      </c>
      <c r="D42" s="61">
        <f>31950*21.458</f>
        <v>685583.1</v>
      </c>
      <c r="E42" s="61">
        <v>7100</v>
      </c>
      <c r="F42" s="61">
        <f>B42+C42-D42</f>
        <v>253143.91127999988</v>
      </c>
      <c r="G42" s="1" t="s">
        <v>56</v>
      </c>
      <c r="H42" s="20"/>
    </row>
    <row r="43" spans="1:6" ht="15.75" customHeight="1" hidden="1">
      <c r="A43" s="16" t="s">
        <v>27</v>
      </c>
      <c r="B43" s="17">
        <f>'2013'!F43</f>
        <v>60586.204320000004</v>
      </c>
      <c r="C43" s="31">
        <f>11782.12*21.036</f>
        <v>247848.67632000003</v>
      </c>
      <c r="D43" s="31">
        <f>11196.48*21.036</f>
        <v>235529.15328</v>
      </c>
      <c r="E43" s="19">
        <f>C43*5/100</f>
        <v>12392.433816000002</v>
      </c>
      <c r="F43" s="31">
        <f>2880.12*21.036</f>
        <v>60586.204320000004</v>
      </c>
    </row>
    <row r="44" spans="1:6" ht="15.75" customHeight="1" hidden="1">
      <c r="A44" s="16" t="s">
        <v>28</v>
      </c>
      <c r="B44" s="17">
        <f>'2013'!F44</f>
        <v>122542.27296</v>
      </c>
      <c r="C44" s="31">
        <f>14793.49*21.036</f>
        <v>311195.85564</v>
      </c>
      <c r="D44" s="31">
        <f>14289.61*21.036</f>
        <v>300596.23596</v>
      </c>
      <c r="E44" s="31">
        <f>C44*5/100</f>
        <v>15559.792782</v>
      </c>
      <c r="F44" s="31">
        <f>5825.36*21.036</f>
        <v>122542.27296</v>
      </c>
    </row>
    <row r="45" spans="1:7" ht="15.75" customHeight="1">
      <c r="A45" s="16"/>
      <c r="B45" s="34"/>
      <c r="C45" s="34"/>
      <c r="D45" s="34"/>
      <c r="E45" s="34"/>
      <c r="F45" s="34"/>
      <c r="G45" s="1">
        <f>33000/23043</f>
        <v>1.4321051946361152</v>
      </c>
    </row>
    <row r="46" spans="1:6" ht="15.75" customHeight="1" hidden="1">
      <c r="A46" s="8" t="s">
        <v>11</v>
      </c>
      <c r="B46" s="34"/>
      <c r="C46" s="35"/>
      <c r="D46" s="35"/>
      <c r="E46" s="34"/>
      <c r="F46" s="34"/>
    </row>
    <row r="47" spans="1:6" s="39" customFormat="1" ht="15.75" customHeight="1" hidden="1">
      <c r="A47" s="36" t="s">
        <v>12</v>
      </c>
      <c r="B47" s="37">
        <f>'2014'!F47</f>
        <v>3937856</v>
      </c>
      <c r="C47" s="37"/>
      <c r="D47" s="37"/>
      <c r="E47" s="38"/>
      <c r="F47" s="37">
        <v>4480000</v>
      </c>
    </row>
    <row r="48" spans="1:6" s="39" customFormat="1" ht="15.75" customHeight="1" hidden="1">
      <c r="A48" s="36" t="s">
        <v>13</v>
      </c>
      <c r="B48" s="37">
        <f>'2014'!F48</f>
        <v>3420606</v>
      </c>
      <c r="C48" s="37"/>
      <c r="D48" s="37"/>
      <c r="E48" s="38"/>
      <c r="F48" s="37">
        <f>(150000+150000*0.1+11000+11000*0.1)*21.458</f>
        <v>3800211.8</v>
      </c>
    </row>
    <row r="49" spans="1:9" s="39" customFormat="1" ht="15.75" customHeight="1" hidden="1">
      <c r="A49" s="36" t="s">
        <v>14</v>
      </c>
      <c r="B49" s="37">
        <f>'2014'!F49</f>
        <v>859900</v>
      </c>
      <c r="C49" s="37"/>
      <c r="D49" s="37"/>
      <c r="E49" s="38"/>
      <c r="F49" s="40">
        <v>921100</v>
      </c>
      <c r="G49" s="41">
        <f>D9+E9</f>
        <v>287361.15</v>
      </c>
      <c r="H49" s="41">
        <f>G49-17565</f>
        <v>269796.15</v>
      </c>
      <c r="I49" s="39" t="s">
        <v>66</v>
      </c>
    </row>
    <row r="50" spans="1:8" s="10" customFormat="1" ht="15.75" customHeight="1" hidden="1">
      <c r="A50" s="8"/>
      <c r="B50" s="16"/>
      <c r="C50" s="8"/>
      <c r="D50" s="8"/>
      <c r="E50" s="42"/>
      <c r="F50" s="42"/>
      <c r="G50" s="11">
        <f>G49/F49</f>
        <v>0.3119760612311367</v>
      </c>
      <c r="H50" s="11">
        <f>H49/F49</f>
        <v>0.2929064705243731</v>
      </c>
    </row>
    <row r="51" spans="1:6" s="10" customFormat="1" ht="15.75" customHeight="1">
      <c r="A51" s="8" t="s">
        <v>79</v>
      </c>
      <c r="B51" s="16"/>
      <c r="C51" s="8"/>
      <c r="D51" s="8"/>
      <c r="E51" s="43"/>
      <c r="F51" s="44"/>
    </row>
    <row r="52" spans="1:7" s="49" customFormat="1" ht="15.75" customHeight="1">
      <c r="A52" s="45" t="s">
        <v>16</v>
      </c>
      <c r="B52" s="46">
        <f>B8/B47</f>
        <v>0.5929431245743877</v>
      </c>
      <c r="C52" s="45"/>
      <c r="D52" s="45"/>
      <c r="E52" s="47"/>
      <c r="F52" s="46">
        <v>0.623</v>
      </c>
      <c r="G52" s="48">
        <f>F8/F47</f>
        <v>0.6207681470374421</v>
      </c>
    </row>
    <row r="53" spans="1:6" s="49" customFormat="1" ht="15.75" customHeight="1">
      <c r="A53" s="45" t="s">
        <v>17</v>
      </c>
      <c r="B53" s="46">
        <f>B9/B47</f>
        <v>0.47131141209836014</v>
      </c>
      <c r="C53" s="45"/>
      <c r="D53" s="45"/>
      <c r="E53" s="46"/>
      <c r="F53" s="46">
        <f>F9/F47</f>
        <v>0.4907351645599602</v>
      </c>
    </row>
    <row r="54" spans="1:6" s="49" customFormat="1" ht="15.75" customHeight="1">
      <c r="A54" s="45" t="s">
        <v>18</v>
      </c>
      <c r="B54" s="46">
        <f>B36/B47</f>
        <v>0.4029554330691625</v>
      </c>
      <c r="C54" s="45"/>
      <c r="D54" s="45"/>
      <c r="E54" s="46"/>
      <c r="F54" s="46">
        <v>0.431</v>
      </c>
    </row>
    <row r="55" spans="1:7" s="49" customFormat="1" ht="15.75" customHeight="1">
      <c r="A55" s="45" t="s">
        <v>74</v>
      </c>
      <c r="B55" s="46">
        <f>118750/859000</f>
        <v>0.13824214202561116</v>
      </c>
      <c r="C55" s="45"/>
      <c r="D55" s="45"/>
      <c r="E55" s="46"/>
      <c r="F55" s="46">
        <f>148470/F49</f>
        <v>0.16118771034632504</v>
      </c>
      <c r="G55" s="66">
        <f>D9+E9</f>
        <v>287361.15</v>
      </c>
    </row>
    <row r="56" spans="1:7" s="49" customFormat="1" ht="15.75" customHeight="1" hidden="1">
      <c r="A56" s="45" t="s">
        <v>40</v>
      </c>
      <c r="B56" s="50">
        <f>'[1]2011'!K49</f>
        <v>0.3591043802622851</v>
      </c>
      <c r="C56" s="45"/>
      <c r="D56" s="45"/>
      <c r="E56" s="46"/>
      <c r="F56" s="46">
        <f>(D36+E36)/F48</f>
        <v>0.219804669834455</v>
      </c>
      <c r="G56" s="66">
        <f>G55-77700</f>
        <v>209661.15000000002</v>
      </c>
    </row>
    <row r="57" ht="13.5" customHeight="1" hidden="1">
      <c r="A57" s="51" t="s">
        <v>64</v>
      </c>
    </row>
    <row r="58" spans="1:5" ht="13.5" customHeight="1" hidden="1">
      <c r="A58" s="51" t="s">
        <v>61</v>
      </c>
      <c r="C58" s="53"/>
      <c r="D58" s="53"/>
      <c r="E58" s="53"/>
    </row>
    <row r="59" spans="1:5" ht="13.5" customHeight="1" hidden="1">
      <c r="A59" s="51" t="s">
        <v>62</v>
      </c>
      <c r="E59" s="53"/>
    </row>
    <row r="60" ht="13.5" customHeight="1" hidden="1">
      <c r="A60" s="51" t="s">
        <v>63</v>
      </c>
    </row>
    <row r="61" ht="15.75" customHeight="1" hidden="1"/>
    <row r="62" ht="15.75" customHeight="1" hidden="1"/>
    <row r="63" ht="15.75" customHeight="1" hidden="1"/>
  </sheetData>
  <sheetProtection/>
  <mergeCells count="7">
    <mergeCell ref="A3:F3"/>
    <mergeCell ref="A6:A7"/>
    <mergeCell ref="B6:B7"/>
    <mergeCell ref="C6:C7"/>
    <mergeCell ref="D6:E6"/>
    <mergeCell ref="F6:F7"/>
    <mergeCell ref="A4:F4"/>
  </mergeCells>
  <printOptions horizontalCentered="1"/>
  <pageMargins left="0.17" right="0.23" top="0.4" bottom="0.56" header="0.32" footer="0.31"/>
  <pageSetup horizontalDpi="600" verticalDpi="600" orientation="landscape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C7" sqref="C7"/>
    </sheetView>
  </sheetViews>
  <sheetFormatPr defaultColWidth="9.140625" defaultRowHeight="12.75" outlineLevelRow="1"/>
  <cols>
    <col min="1" max="1" width="6.57421875" style="73" customWidth="1"/>
    <col min="2" max="2" width="52.00390625" style="76" customWidth="1"/>
    <col min="3" max="3" width="19.7109375" style="73" customWidth="1"/>
    <col min="4" max="7" width="11.28125" style="73" customWidth="1"/>
    <col min="8" max="8" width="19.140625" style="73" customWidth="1"/>
    <col min="9" max="9" width="13.7109375" style="73" bestFit="1" customWidth="1"/>
    <col min="10" max="10" width="10.140625" style="73" bestFit="1" customWidth="1"/>
    <col min="11" max="16384" width="9.140625" style="73" customWidth="1"/>
  </cols>
  <sheetData>
    <row r="1" spans="1:8" ht="18" customHeight="1">
      <c r="A1" s="177"/>
      <c r="B1" s="177"/>
      <c r="C1" s="91"/>
      <c r="D1" s="91"/>
      <c r="E1" s="91"/>
      <c r="F1" s="91"/>
      <c r="G1" s="91"/>
      <c r="H1" s="90" t="s">
        <v>97</v>
      </c>
    </row>
    <row r="2" spans="1:8" s="74" customFormat="1" ht="18" customHeight="1">
      <c r="A2" s="178" t="s">
        <v>102</v>
      </c>
      <c r="B2" s="178"/>
      <c r="C2" s="178"/>
      <c r="D2" s="178"/>
      <c r="E2" s="178"/>
      <c r="F2" s="178"/>
      <c r="G2" s="178"/>
      <c r="H2" s="178"/>
    </row>
    <row r="3" spans="1:8" s="74" customFormat="1" ht="23.25" customHeight="1">
      <c r="A3" s="179" t="str">
        <f>'PL II'!A3:I3</f>
        <v>Kèm theo Báo cáo số          /BC-STC ngày      tháng       năm 2023 của Sở Tài chính)</v>
      </c>
      <c r="B3" s="179"/>
      <c r="C3" s="179"/>
      <c r="D3" s="179"/>
      <c r="E3" s="179"/>
      <c r="F3" s="179"/>
      <c r="G3" s="179"/>
      <c r="H3" s="179"/>
    </row>
    <row r="4" spans="5:8" ht="15.75">
      <c r="E4" s="75"/>
      <c r="G4" s="180" t="s">
        <v>82</v>
      </c>
      <c r="H4" s="180"/>
    </row>
    <row r="5" spans="1:8" s="92" customFormat="1" ht="19.5" customHeight="1">
      <c r="A5" s="181" t="s">
        <v>88</v>
      </c>
      <c r="B5" s="183" t="s">
        <v>89</v>
      </c>
      <c r="C5" s="174" t="s">
        <v>87</v>
      </c>
      <c r="D5" s="174" t="s">
        <v>83</v>
      </c>
      <c r="E5" s="174" t="s">
        <v>84</v>
      </c>
      <c r="F5" s="174"/>
      <c r="G5" s="174"/>
      <c r="H5" s="174" t="s">
        <v>100</v>
      </c>
    </row>
    <row r="6" spans="1:8" s="92" customFormat="1" ht="37.5" customHeight="1">
      <c r="A6" s="182"/>
      <c r="B6" s="183"/>
      <c r="C6" s="174"/>
      <c r="D6" s="174"/>
      <c r="E6" s="106" t="s">
        <v>21</v>
      </c>
      <c r="F6" s="106" t="s">
        <v>85</v>
      </c>
      <c r="G6" s="106" t="s">
        <v>86</v>
      </c>
      <c r="H6" s="174"/>
    </row>
    <row r="7" spans="1:8" s="105" customFormat="1" ht="19.5" customHeight="1">
      <c r="A7" s="103" t="s">
        <v>90</v>
      </c>
      <c r="B7" s="103" t="s">
        <v>91</v>
      </c>
      <c r="C7" s="104">
        <v>1</v>
      </c>
      <c r="D7" s="104">
        <v>2</v>
      </c>
      <c r="E7" s="104">
        <v>3</v>
      </c>
      <c r="F7" s="104">
        <v>4</v>
      </c>
      <c r="G7" s="104">
        <v>5</v>
      </c>
      <c r="H7" s="104" t="s">
        <v>98</v>
      </c>
    </row>
    <row r="8" spans="1:9" ht="35.25" customHeight="1">
      <c r="A8" s="93"/>
      <c r="B8" s="94" t="s">
        <v>99</v>
      </c>
      <c r="C8" s="108" t="e">
        <f aca="true" t="shared" si="0" ref="C8:H8">C9+C11</f>
        <v>#REF!</v>
      </c>
      <c r="D8" s="108">
        <f t="shared" si="0"/>
        <v>0</v>
      </c>
      <c r="E8" s="108" t="e">
        <f t="shared" si="0"/>
        <v>#REF!</v>
      </c>
      <c r="F8" s="108">
        <f t="shared" si="0"/>
        <v>0</v>
      </c>
      <c r="G8" s="108" t="e">
        <f t="shared" si="0"/>
        <v>#REF!</v>
      </c>
      <c r="H8" s="108" t="e">
        <f t="shared" si="0"/>
        <v>#REF!</v>
      </c>
      <c r="I8" s="113"/>
    </row>
    <row r="9" spans="1:8" s="97" customFormat="1" ht="36" customHeight="1" hidden="1">
      <c r="A9" s="95" t="s">
        <v>95</v>
      </c>
      <c r="B9" s="96" t="s">
        <v>92</v>
      </c>
      <c r="C9" s="107" t="e">
        <f>C10</f>
        <v>#REF!</v>
      </c>
      <c r="D9" s="107">
        <f>D10</f>
        <v>0</v>
      </c>
      <c r="E9" s="107" t="e">
        <f>E10</f>
        <v>#REF!</v>
      </c>
      <c r="F9" s="107"/>
      <c r="G9" s="107" t="e">
        <f>G10</f>
        <v>#REF!</v>
      </c>
      <c r="H9" s="107" t="e">
        <f>H10</f>
        <v>#REF!</v>
      </c>
    </row>
    <row r="10" spans="1:8" ht="33" customHeight="1" hidden="1">
      <c r="A10" s="98">
        <v>1</v>
      </c>
      <c r="B10" s="99" t="s">
        <v>93</v>
      </c>
      <c r="C10" s="102" t="e">
        <f>'PL II'!#REF!</f>
        <v>#REF!</v>
      </c>
      <c r="D10" s="102"/>
      <c r="E10" s="102" t="e">
        <f>'PL II'!#REF!</f>
        <v>#REF!</v>
      </c>
      <c r="F10" s="102"/>
      <c r="G10" s="102" t="e">
        <f>E10+F10</f>
        <v>#REF!</v>
      </c>
      <c r="H10" s="102" t="e">
        <f>C10+D10-E10</f>
        <v>#REF!</v>
      </c>
    </row>
    <row r="11" spans="1:10" s="97" customFormat="1" ht="40.5" customHeight="1">
      <c r="A11" s="95" t="s">
        <v>96</v>
      </c>
      <c r="B11" s="100" t="s">
        <v>94</v>
      </c>
      <c r="C11" s="107">
        <f aca="true" t="shared" si="1" ref="C11:H11">SUM(C12:C15)</f>
        <v>0</v>
      </c>
      <c r="D11" s="107">
        <f t="shared" si="1"/>
        <v>0</v>
      </c>
      <c r="E11" s="107">
        <f t="shared" si="1"/>
        <v>0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14"/>
      <c r="J11" s="114"/>
    </row>
    <row r="12" spans="1:8" ht="54" customHeight="1">
      <c r="A12" s="98">
        <v>1</v>
      </c>
      <c r="B12" s="101" t="s">
        <v>101</v>
      </c>
      <c r="C12" s="102"/>
      <c r="D12" s="102"/>
      <c r="E12" s="102"/>
      <c r="F12" s="115"/>
      <c r="G12" s="102"/>
      <c r="H12" s="102"/>
    </row>
    <row r="13" spans="1:9" ht="49.5" customHeight="1">
      <c r="A13" s="98"/>
      <c r="B13" s="101"/>
      <c r="C13" s="102"/>
      <c r="D13" s="102"/>
      <c r="E13" s="102"/>
      <c r="F13" s="102"/>
      <c r="G13" s="102"/>
      <c r="H13" s="102"/>
      <c r="I13" s="113"/>
    </row>
    <row r="14" spans="1:10" ht="47.25" customHeight="1">
      <c r="A14" s="98"/>
      <c r="B14" s="101"/>
      <c r="C14" s="102"/>
      <c r="D14" s="102"/>
      <c r="E14" s="102"/>
      <c r="F14" s="102"/>
      <c r="G14" s="102"/>
      <c r="H14" s="102"/>
      <c r="J14" s="111"/>
    </row>
    <row r="15" spans="1:10" ht="47.25" customHeight="1">
      <c r="A15" s="117"/>
      <c r="B15" s="118"/>
      <c r="C15" s="119"/>
      <c r="D15" s="119"/>
      <c r="E15" s="119"/>
      <c r="F15" s="119"/>
      <c r="G15" s="119"/>
      <c r="H15" s="119"/>
      <c r="J15" s="111"/>
    </row>
    <row r="16" spans="2:8" s="81" customFormat="1" ht="18.75">
      <c r="B16" s="78"/>
      <c r="C16" s="79"/>
      <c r="D16" s="79"/>
      <c r="E16" s="79"/>
      <c r="F16" s="80"/>
      <c r="G16" s="80"/>
      <c r="H16" s="80"/>
    </row>
    <row r="17" spans="2:8" s="81" customFormat="1" ht="18.75">
      <c r="B17" s="82"/>
      <c r="C17" s="83"/>
      <c r="D17" s="83"/>
      <c r="E17" s="83"/>
      <c r="F17" s="83"/>
      <c r="G17" s="83"/>
      <c r="H17" s="112"/>
    </row>
    <row r="18" spans="2:8" s="86" customFormat="1" ht="18.75" hidden="1" outlineLevel="1">
      <c r="B18" s="84"/>
      <c r="C18" s="85"/>
      <c r="D18" s="85"/>
      <c r="E18" s="85"/>
      <c r="F18" s="85"/>
      <c r="G18" s="85"/>
      <c r="H18" s="85"/>
    </row>
    <row r="19" spans="2:8" s="81" customFormat="1" ht="18.75" collapsed="1">
      <c r="B19" s="82"/>
      <c r="C19" s="83"/>
      <c r="D19" s="83"/>
      <c r="E19" s="83"/>
      <c r="F19" s="83"/>
      <c r="G19" s="83"/>
      <c r="H19" s="51"/>
    </row>
    <row r="20" spans="2:8" s="81" customFormat="1" ht="18.75" hidden="1" outlineLevel="1">
      <c r="B20" s="78"/>
      <c r="C20" s="79"/>
      <c r="D20" s="79"/>
      <c r="E20" s="79"/>
      <c r="F20" s="79"/>
      <c r="G20" s="79"/>
      <c r="H20" s="79"/>
    </row>
    <row r="21" spans="2:8" s="81" customFormat="1" ht="18.75" hidden="1" outlineLevel="1">
      <c r="B21" s="78"/>
      <c r="C21" s="79"/>
      <c r="D21" s="79"/>
      <c r="E21" s="79"/>
      <c r="F21" s="79"/>
      <c r="G21" s="79"/>
      <c r="H21" s="79"/>
    </row>
    <row r="22" spans="2:8" s="81" customFormat="1" ht="18.75" hidden="1" outlineLevel="1">
      <c r="B22" s="78"/>
      <c r="C22" s="79"/>
      <c r="D22" s="79"/>
      <c r="E22" s="79"/>
      <c r="F22" s="79"/>
      <c r="G22" s="79"/>
      <c r="H22" s="79"/>
    </row>
    <row r="23" spans="2:8" s="81" customFormat="1" ht="18.75" collapsed="1">
      <c r="B23" s="175"/>
      <c r="C23" s="175"/>
      <c r="D23" s="175"/>
      <c r="E23" s="87"/>
      <c r="F23" s="176"/>
      <c r="G23" s="176"/>
      <c r="H23" s="176"/>
    </row>
    <row r="24" spans="2:8" s="81" customFormat="1" ht="18.75">
      <c r="B24" s="88"/>
      <c r="C24" s="79"/>
      <c r="D24" s="79"/>
      <c r="E24" s="79"/>
      <c r="F24" s="79"/>
      <c r="G24" s="79"/>
      <c r="H24" s="79">
        <f>H17+H19</f>
        <v>0</v>
      </c>
    </row>
    <row r="25" spans="2:8" s="81" customFormat="1" ht="18.75">
      <c r="B25" s="88"/>
      <c r="C25" s="79"/>
      <c r="D25" s="79"/>
      <c r="E25" s="79"/>
      <c r="F25" s="79"/>
      <c r="G25" s="79"/>
      <c r="H25" s="79"/>
    </row>
    <row r="26" spans="2:8" s="81" customFormat="1" ht="18.75">
      <c r="B26" s="88"/>
      <c r="C26" s="79"/>
      <c r="D26" s="79"/>
      <c r="E26" s="79"/>
      <c r="F26" s="79"/>
      <c r="G26" s="79"/>
      <c r="H26" s="79"/>
    </row>
    <row r="27" spans="2:8" s="81" customFormat="1" ht="18.75">
      <c r="B27" s="78"/>
      <c r="C27" s="79"/>
      <c r="D27" s="79"/>
      <c r="E27" s="79"/>
      <c r="F27" s="79"/>
      <c r="G27" s="79"/>
      <c r="H27" s="79"/>
    </row>
    <row r="28" spans="2:8" s="81" customFormat="1" ht="18.75">
      <c r="B28" s="78"/>
      <c r="C28" s="79"/>
      <c r="D28" s="79"/>
      <c r="E28" s="79"/>
      <c r="F28" s="79"/>
      <c r="G28" s="79"/>
      <c r="H28" s="79"/>
    </row>
    <row r="29" spans="2:8" s="81" customFormat="1" ht="18.75">
      <c r="B29" s="88"/>
      <c r="C29" s="79"/>
      <c r="D29" s="79"/>
      <c r="E29" s="79"/>
      <c r="F29" s="79"/>
      <c r="G29" s="79"/>
      <c r="H29" s="79"/>
    </row>
    <row r="30" spans="2:8" s="81" customFormat="1" ht="18.75">
      <c r="B30" s="82"/>
      <c r="C30" s="89"/>
      <c r="D30" s="89"/>
      <c r="E30" s="89"/>
      <c r="F30" s="89"/>
      <c r="G30" s="89"/>
      <c r="H30" s="89"/>
    </row>
    <row r="32" ht="15.75">
      <c r="B32" s="77"/>
    </row>
  </sheetData>
  <sheetProtection/>
  <mergeCells count="12">
    <mergeCell ref="A1:B1"/>
    <mergeCell ref="A2:H2"/>
    <mergeCell ref="A3:H3"/>
    <mergeCell ref="G4:H4"/>
    <mergeCell ref="A5:A6"/>
    <mergeCell ref="B5:B6"/>
    <mergeCell ref="C5:C6"/>
    <mergeCell ref="D5:D6"/>
    <mergeCell ref="E5:G5"/>
    <mergeCell ref="H5:H6"/>
    <mergeCell ref="B23:D23"/>
    <mergeCell ref="F23:H23"/>
  </mergeCells>
  <printOptions horizontalCentered="1"/>
  <pageMargins left="0.6" right="0.2362204724409449" top="0.7086614173228347" bottom="0.5511811023622047" header="0.45" footer="0.31496062992125984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13">
      <selection activeCell="J15" sqref="J15"/>
    </sheetView>
  </sheetViews>
  <sheetFormatPr defaultColWidth="9.140625" defaultRowHeight="12.75"/>
  <cols>
    <col min="1" max="1" width="4.421875" style="73" customWidth="1"/>
    <col min="2" max="2" width="56.28125" style="76" customWidth="1"/>
    <col min="3" max="3" width="14.421875" style="73" customWidth="1"/>
    <col min="4" max="4" width="10.8515625" style="73" customWidth="1"/>
    <col min="5" max="5" width="9.28125" style="73" customWidth="1"/>
    <col min="6" max="8" width="10.28125" style="73" customWidth="1"/>
    <col min="9" max="9" width="15.7109375" style="73" customWidth="1"/>
    <col min="10" max="10" width="18.140625" style="73" customWidth="1"/>
    <col min="11" max="11" width="0" style="132" hidden="1" customWidth="1"/>
    <col min="12" max="16384" width="9.140625" style="132" customWidth="1"/>
  </cols>
  <sheetData>
    <row r="1" spans="1:10" ht="18" customHeight="1">
      <c r="A1" s="177"/>
      <c r="B1" s="177"/>
      <c r="C1" s="91"/>
      <c r="D1" s="91"/>
      <c r="E1" s="91"/>
      <c r="F1" s="91"/>
      <c r="G1" s="91"/>
      <c r="H1" s="177"/>
      <c r="I1" s="177"/>
      <c r="J1" s="90"/>
    </row>
    <row r="2" spans="1:10" s="150" customFormat="1" ht="18" customHeight="1">
      <c r="A2" s="186" t="s">
        <v>123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150" customFormat="1" ht="23.25" customHeight="1" hidden="1">
      <c r="A3" s="185" t="s">
        <v>119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1" ht="15.75">
      <c r="A4" s="132"/>
      <c r="B4" s="135"/>
      <c r="C4" s="132"/>
      <c r="D4" s="132"/>
      <c r="E4" s="132"/>
      <c r="F4" s="136"/>
      <c r="G4" s="132"/>
      <c r="I4" s="192" t="s">
        <v>82</v>
      </c>
      <c r="J4" s="192"/>
      <c r="K4" s="161"/>
    </row>
    <row r="5" spans="1:10" s="151" customFormat="1" ht="27" customHeight="1">
      <c r="A5" s="187" t="s">
        <v>88</v>
      </c>
      <c r="B5" s="191" t="s">
        <v>89</v>
      </c>
      <c r="C5" s="184" t="s">
        <v>120</v>
      </c>
      <c r="D5" s="189" t="s">
        <v>83</v>
      </c>
      <c r="E5" s="189" t="s">
        <v>122</v>
      </c>
      <c r="F5" s="184" t="s">
        <v>84</v>
      </c>
      <c r="G5" s="184"/>
      <c r="H5" s="184"/>
      <c r="I5" s="184" t="s">
        <v>121</v>
      </c>
      <c r="J5" s="184" t="s">
        <v>116</v>
      </c>
    </row>
    <row r="6" spans="1:10" s="151" customFormat="1" ht="30" customHeight="1">
      <c r="A6" s="188"/>
      <c r="B6" s="191"/>
      <c r="C6" s="184"/>
      <c r="D6" s="190"/>
      <c r="E6" s="190"/>
      <c r="F6" s="145" t="s">
        <v>21</v>
      </c>
      <c r="G6" s="145" t="s">
        <v>85</v>
      </c>
      <c r="H6" s="145" t="s">
        <v>86</v>
      </c>
      <c r="I6" s="184"/>
      <c r="J6" s="184"/>
    </row>
    <row r="7" spans="1:10" s="152" customFormat="1" ht="19.5" customHeight="1">
      <c r="A7" s="137" t="s">
        <v>90</v>
      </c>
      <c r="B7" s="137" t="s">
        <v>91</v>
      </c>
      <c r="C7" s="138">
        <v>1</v>
      </c>
      <c r="D7" s="138">
        <v>2</v>
      </c>
      <c r="E7" s="138">
        <v>3</v>
      </c>
      <c r="F7" s="138">
        <v>4</v>
      </c>
      <c r="G7" s="138">
        <v>5</v>
      </c>
      <c r="H7" s="138">
        <v>6</v>
      </c>
      <c r="I7" s="138">
        <v>7</v>
      </c>
      <c r="J7" s="138"/>
    </row>
    <row r="8" spans="1:10" ht="39" customHeight="1">
      <c r="A8" s="139"/>
      <c r="B8" s="140" t="s">
        <v>99</v>
      </c>
      <c r="C8" s="141">
        <f aca="true" t="shared" si="0" ref="C8:I8">C11</f>
        <v>60452.27461440599</v>
      </c>
      <c r="D8" s="141">
        <f t="shared" si="0"/>
        <v>29765.426812478003</v>
      </c>
      <c r="E8" s="141">
        <f t="shared" si="0"/>
        <v>144.63</v>
      </c>
      <c r="F8" s="141">
        <f t="shared" si="0"/>
        <v>3646.3315486</v>
      </c>
      <c r="G8" s="141">
        <f t="shared" si="0"/>
        <v>1236.2230275000002</v>
      </c>
      <c r="H8" s="141">
        <f t="shared" si="0"/>
        <v>4882.5545761</v>
      </c>
      <c r="I8" s="141">
        <f t="shared" si="0"/>
        <v>86715.999878284</v>
      </c>
      <c r="J8" s="141"/>
    </row>
    <row r="9" spans="1:10" ht="39" customHeight="1">
      <c r="A9" s="142" t="s">
        <v>95</v>
      </c>
      <c r="B9" s="163" t="s">
        <v>92</v>
      </c>
      <c r="C9" s="162">
        <f>C10</f>
        <v>30000</v>
      </c>
      <c r="D9" s="162">
        <f aca="true" t="shared" si="1" ref="D9:I9">D10</f>
        <v>0</v>
      </c>
      <c r="E9" s="162"/>
      <c r="F9" s="162">
        <f t="shared" si="1"/>
        <v>30000</v>
      </c>
      <c r="G9" s="162">
        <f t="shared" si="1"/>
        <v>0</v>
      </c>
      <c r="H9" s="162">
        <f t="shared" si="1"/>
        <v>30000</v>
      </c>
      <c r="I9" s="162">
        <f t="shared" si="1"/>
        <v>0</v>
      </c>
      <c r="J9" s="162"/>
    </row>
    <row r="10" spans="1:10" ht="39" customHeight="1">
      <c r="A10" s="121">
        <v>1</v>
      </c>
      <c r="B10" s="164" t="s">
        <v>93</v>
      </c>
      <c r="C10" s="165">
        <v>30000</v>
      </c>
      <c r="D10" s="124"/>
      <c r="E10" s="124"/>
      <c r="F10" s="123">
        <v>30000</v>
      </c>
      <c r="G10" s="162"/>
      <c r="H10" s="124">
        <f>F10+G10</f>
        <v>30000</v>
      </c>
      <c r="I10" s="124">
        <f>C10+D10-F10</f>
        <v>0</v>
      </c>
      <c r="J10" s="162"/>
    </row>
    <row r="11" spans="1:10" s="131" customFormat="1" ht="40.5" customHeight="1">
      <c r="A11" s="142" t="s">
        <v>96</v>
      </c>
      <c r="B11" s="144" t="s">
        <v>94</v>
      </c>
      <c r="C11" s="143">
        <f aca="true" t="shared" si="2" ref="C11:I11">SUM(C12:C18)</f>
        <v>60452.27461440599</v>
      </c>
      <c r="D11" s="143">
        <f t="shared" si="2"/>
        <v>29765.426812478003</v>
      </c>
      <c r="E11" s="143">
        <f t="shared" si="2"/>
        <v>144.63</v>
      </c>
      <c r="F11" s="143">
        <f t="shared" si="2"/>
        <v>3646.3315486</v>
      </c>
      <c r="G11" s="143">
        <f t="shared" si="2"/>
        <v>1236.2230275000002</v>
      </c>
      <c r="H11" s="143">
        <f t="shared" si="2"/>
        <v>4882.5545761</v>
      </c>
      <c r="I11" s="143">
        <f t="shared" si="2"/>
        <v>86715.999878284</v>
      </c>
      <c r="J11" s="143"/>
    </row>
    <row r="12" spans="1:10" s="155" customFormat="1" ht="47.25" customHeight="1">
      <c r="A12" s="121">
        <v>1</v>
      </c>
      <c r="B12" s="122" t="str">
        <f>'[2]Bieu so 01'!B9</f>
        <v>Dự án xây dựng cầu dân sinh và quản lý tài sản đường địa phương (LRAMP)</v>
      </c>
      <c r="C12" s="123">
        <f>'[5]2021'!C13</f>
        <v>18625.280552467997</v>
      </c>
      <c r="D12" s="124">
        <f>'[5]2021'!D13</f>
        <v>5598.000002</v>
      </c>
      <c r="E12" s="124">
        <f>'[5]2021'!F13</f>
        <v>0</v>
      </c>
      <c r="F12" s="124">
        <f>'[5]2021'!E13</f>
        <v>890.1684</v>
      </c>
      <c r="G12" s="124">
        <f>'[6]PL III-ND 93-31.12.21 (2)'!K12</f>
        <v>360.910971</v>
      </c>
      <c r="H12" s="124">
        <f>F12+G12</f>
        <v>1251.079371</v>
      </c>
      <c r="I12" s="124">
        <f>C12+D12-F12+E12</f>
        <v>23333.112154468</v>
      </c>
      <c r="J12" s="157"/>
    </row>
    <row r="13" spans="1:10" ht="39" customHeight="1">
      <c r="A13" s="121">
        <v>2</v>
      </c>
      <c r="B13" s="122" t="str">
        <f>'[2]Bieu so 01'!B11</f>
        <v>Chương trình "Mở rộng quy mô vệ sinh nước sạch nông thôn dựa trên kết quả"</v>
      </c>
      <c r="C13" s="123">
        <f>'[5]2021'!C14</f>
        <v>15197.690907479999</v>
      </c>
      <c r="D13" s="124">
        <f>'[5]2021'!D14</f>
        <v>4250.63</v>
      </c>
      <c r="E13" s="124">
        <f>'[5]2021'!F14</f>
        <v>0</v>
      </c>
      <c r="F13" s="124">
        <f>'[5]2021'!E14</f>
        <v>984.4124326</v>
      </c>
      <c r="G13" s="124">
        <f>'[6]PL III-ND 93-31.12.21 (2)'!K13</f>
        <v>286.548653</v>
      </c>
      <c r="H13" s="124">
        <f>F13+G13</f>
        <v>1270.9610856</v>
      </c>
      <c r="I13" s="124">
        <f aca="true" t="shared" si="3" ref="I13:I18">C13+D13-F13+E13</f>
        <v>18463.90847488</v>
      </c>
      <c r="J13" s="124"/>
    </row>
    <row r="14" spans="1:10" s="154" customFormat="1" ht="39" customHeight="1">
      <c r="A14" s="125">
        <v>3</v>
      </c>
      <c r="B14" s="158" t="s">
        <v>104</v>
      </c>
      <c r="C14" s="123">
        <f>'[5]2021'!C15</f>
        <v>5834.0778404580005</v>
      </c>
      <c r="D14" s="124">
        <f>'[5]2021'!D15</f>
        <v>7775.512075478001</v>
      </c>
      <c r="E14" s="124">
        <f>'[5]2021'!F15</f>
        <v>0</v>
      </c>
      <c r="F14" s="124">
        <f>'[5]2021'!E15</f>
        <v>1548.201039</v>
      </c>
      <c r="G14" s="124">
        <f>'[6]PL III-ND 93-31.12.21 (2)'!K14</f>
        <v>129.657914</v>
      </c>
      <c r="H14" s="124">
        <f>SUM(F14:G14)</f>
        <v>1677.858953</v>
      </c>
      <c r="I14" s="124">
        <f t="shared" si="3"/>
        <v>12061.388876936002</v>
      </c>
      <c r="J14" s="124"/>
    </row>
    <row r="15" spans="1:10" s="154" customFormat="1" ht="47.25">
      <c r="A15" s="125">
        <v>4</v>
      </c>
      <c r="B15" s="146" t="s">
        <v>107</v>
      </c>
      <c r="C15" s="123">
        <f>'[5]2021'!C16</f>
        <v>7314.3465</v>
      </c>
      <c r="D15" s="124">
        <f>'[5]2021'!D16</f>
        <v>8092.427452399999</v>
      </c>
      <c r="E15" s="124">
        <f>'[5]2021'!F16</f>
        <v>134.63</v>
      </c>
      <c r="F15" s="124">
        <f>'[5]2021'!E16</f>
        <v>0</v>
      </c>
      <c r="G15" s="124">
        <f>'[6]PL III-ND 93-31.12.21 (2)'!K15</f>
        <v>23.586</v>
      </c>
      <c r="H15" s="124">
        <f>SUM(F15:G15)</f>
        <v>23.586</v>
      </c>
      <c r="I15" s="124">
        <f t="shared" si="3"/>
        <v>15541.403952399998</v>
      </c>
      <c r="J15" s="159"/>
    </row>
    <row r="16" spans="1:10" s="154" customFormat="1" ht="39" customHeight="1">
      <c r="A16" s="125">
        <v>5</v>
      </c>
      <c r="B16" s="146" t="str">
        <f>'[2]Bieu so 01'!B12</f>
        <v>Chương trình giảm nghèo dựa trên phát triển hàng hóa (CPRP) tỉnh Hà Giang</v>
      </c>
      <c r="C16" s="123">
        <f>'[5]2021'!C17</f>
        <v>13480.878814</v>
      </c>
      <c r="D16" s="124">
        <f>'[5]2021'!D17</f>
        <v>0</v>
      </c>
      <c r="E16" s="124">
        <f>'[5]2021'!F17</f>
        <v>0</v>
      </c>
      <c r="F16" s="124">
        <f>'[5]2021'!E17</f>
        <v>223.549677</v>
      </c>
      <c r="G16" s="124">
        <f>'[6]PL III-ND 93-31.12.21 (2)'!K16</f>
        <v>280.4593475</v>
      </c>
      <c r="H16" s="124">
        <f>SUM(F16:G16)</f>
        <v>504.0090245</v>
      </c>
      <c r="I16" s="124">
        <f t="shared" si="3"/>
        <v>13257.329136999999</v>
      </c>
      <c r="J16" s="147"/>
    </row>
    <row r="17" spans="1:10" s="156" customFormat="1" ht="39.75" customHeight="1">
      <c r="A17" s="125">
        <v>6</v>
      </c>
      <c r="B17" s="146" t="s">
        <v>115</v>
      </c>
      <c r="C17" s="123">
        <f>'[5]2021'!C18</f>
        <v>0</v>
      </c>
      <c r="D17" s="124">
        <f>'[5]2021'!D18</f>
        <v>4048.8572826000004</v>
      </c>
      <c r="E17" s="124">
        <f>'[5]2021'!F18</f>
        <v>10</v>
      </c>
      <c r="F17" s="124">
        <f>'[5]2021'!E18</f>
        <v>0</v>
      </c>
      <c r="G17" s="124">
        <f>'[6]PL III-ND 93-31.12.21 (2)'!K17</f>
        <v>155.060142</v>
      </c>
      <c r="H17" s="124">
        <f>SUM(F17:G17)</f>
        <v>155.060142</v>
      </c>
      <c r="I17" s="124">
        <f t="shared" si="3"/>
        <v>4058.8572826000004</v>
      </c>
      <c r="J17" s="159"/>
    </row>
    <row r="18" spans="1:10" s="153" customFormat="1" ht="31.5">
      <c r="A18" s="125">
        <v>7</v>
      </c>
      <c r="B18" s="146" t="s">
        <v>117</v>
      </c>
      <c r="C18" s="123">
        <f>'[5]2021'!C19</f>
        <v>0</v>
      </c>
      <c r="D18" s="124">
        <f>'[5]2021'!D19</f>
        <v>0</v>
      </c>
      <c r="E18" s="124">
        <f>'[5]2021'!F19</f>
        <v>0</v>
      </c>
      <c r="F18" s="124">
        <f>'[5]2021'!E19</f>
        <v>0</v>
      </c>
      <c r="G18" s="124">
        <f>'[6]PL III-ND 93-31.12.21 (2)'!K18</f>
        <v>0</v>
      </c>
      <c r="H18" s="124">
        <f>SUM(F18:G18)</f>
        <v>0</v>
      </c>
      <c r="I18" s="124">
        <f t="shared" si="3"/>
        <v>0</v>
      </c>
      <c r="J18" s="160"/>
    </row>
    <row r="19" spans="1:10" s="153" customFormat="1" ht="6.75" customHeight="1">
      <c r="A19" s="128"/>
      <c r="B19" s="148"/>
      <c r="C19" s="149"/>
      <c r="D19" s="149"/>
      <c r="E19" s="149"/>
      <c r="F19" s="149"/>
      <c r="G19" s="149"/>
      <c r="H19" s="149"/>
      <c r="I19" s="149"/>
      <c r="J19" s="149"/>
    </row>
    <row r="20" spans="1:10" s="153" customFormat="1" ht="18.75" hidden="1">
      <c r="A20" s="81"/>
      <c r="B20" s="88" t="s">
        <v>118</v>
      </c>
      <c r="C20" s="79"/>
      <c r="D20" s="79"/>
      <c r="E20" s="79"/>
      <c r="F20" s="79">
        <v>4642.282083</v>
      </c>
      <c r="G20" s="79">
        <v>1240.96122</v>
      </c>
      <c r="H20" s="79"/>
      <c r="I20" s="79"/>
      <c r="J20" s="79"/>
    </row>
    <row r="21" spans="1:10" s="153" customFormat="1" ht="18.75" hidden="1">
      <c r="A21" s="81"/>
      <c r="B21" s="88"/>
      <c r="C21" s="79"/>
      <c r="D21" s="79"/>
      <c r="E21" s="79"/>
      <c r="F21" s="79">
        <f>F20-F11</f>
        <v>995.9505343999999</v>
      </c>
      <c r="G21" s="79">
        <f>G20-G11</f>
        <v>4.738192499999741</v>
      </c>
      <c r="H21" s="79"/>
      <c r="I21" s="79"/>
      <c r="J21" s="79"/>
    </row>
  </sheetData>
  <sheetProtection/>
  <mergeCells count="13">
    <mergeCell ref="I4:J4"/>
    <mergeCell ref="D5:D6"/>
    <mergeCell ref="F5:H5"/>
    <mergeCell ref="H1:I1"/>
    <mergeCell ref="J5:J6"/>
    <mergeCell ref="A3:J3"/>
    <mergeCell ref="A2:J2"/>
    <mergeCell ref="A1:B1"/>
    <mergeCell ref="A5:A6"/>
    <mergeCell ref="I5:I6"/>
    <mergeCell ref="E5:E6"/>
    <mergeCell ref="B5:B6"/>
    <mergeCell ref="C5:C6"/>
  </mergeCells>
  <printOptions horizontalCentered="1"/>
  <pageMargins left="0.1968503937007874" right="0.03937007874015748" top="0.1968503937007874" bottom="0.15748031496062992" header="0.31496062992125984" footer="0.31496062992125984"/>
  <pageSetup fitToHeight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5.57421875" style="73" customWidth="1"/>
    <col min="2" max="2" width="48.28125" style="76" customWidth="1"/>
    <col min="3" max="3" width="18.421875" style="73" customWidth="1"/>
    <col min="4" max="4" width="13.00390625" style="73" customWidth="1"/>
    <col min="5" max="5" width="12.57421875" style="73" customWidth="1"/>
    <col min="6" max="6" width="12.140625" style="73" customWidth="1"/>
    <col min="7" max="7" width="12.28125" style="73" customWidth="1"/>
    <col min="8" max="8" width="20.421875" style="73" customWidth="1"/>
    <col min="9" max="16384" width="9.140625" style="73" customWidth="1"/>
  </cols>
  <sheetData>
    <row r="1" spans="1:8" ht="18" customHeight="1">
      <c r="A1" s="177"/>
      <c r="B1" s="177"/>
      <c r="C1" s="91"/>
      <c r="D1" s="91"/>
      <c r="E1" s="91"/>
      <c r="F1" s="91"/>
      <c r="G1" s="177"/>
      <c r="H1" s="177"/>
    </row>
    <row r="2" spans="1:8" s="74" customFormat="1" ht="18" customHeight="1">
      <c r="A2" s="178" t="s">
        <v>102</v>
      </c>
      <c r="B2" s="178"/>
      <c r="C2" s="178"/>
      <c r="D2" s="178"/>
      <c r="E2" s="178"/>
      <c r="F2" s="178"/>
      <c r="G2" s="178"/>
      <c r="H2" s="178"/>
    </row>
    <row r="3" spans="1:8" s="74" customFormat="1" ht="23.25" customHeight="1">
      <c r="A3" s="179" t="s">
        <v>103</v>
      </c>
      <c r="B3" s="179"/>
      <c r="C3" s="179"/>
      <c r="D3" s="179"/>
      <c r="E3" s="179"/>
      <c r="F3" s="179"/>
      <c r="G3" s="179"/>
      <c r="H3" s="179"/>
    </row>
    <row r="4" spans="5:8" ht="15.75">
      <c r="E4" s="75"/>
      <c r="G4" s="180" t="s">
        <v>82</v>
      </c>
      <c r="H4" s="180"/>
    </row>
    <row r="5" spans="1:8" s="92" customFormat="1" ht="19.5" customHeight="1">
      <c r="A5" s="181" t="s">
        <v>88</v>
      </c>
      <c r="B5" s="183" t="s">
        <v>89</v>
      </c>
      <c r="C5" s="174" t="s">
        <v>112</v>
      </c>
      <c r="D5" s="174" t="s">
        <v>110</v>
      </c>
      <c r="E5" s="174" t="s">
        <v>84</v>
      </c>
      <c r="F5" s="174"/>
      <c r="G5" s="174"/>
      <c r="H5" s="174" t="s">
        <v>111</v>
      </c>
    </row>
    <row r="6" spans="1:8" s="92" customFormat="1" ht="37.5" customHeight="1">
      <c r="A6" s="182"/>
      <c r="B6" s="183"/>
      <c r="C6" s="174"/>
      <c r="D6" s="174"/>
      <c r="E6" s="106" t="s">
        <v>108</v>
      </c>
      <c r="F6" s="106" t="s">
        <v>109</v>
      </c>
      <c r="G6" s="106" t="s">
        <v>86</v>
      </c>
      <c r="H6" s="174"/>
    </row>
    <row r="7" spans="1:8" s="105" customFormat="1" ht="19.5" customHeight="1">
      <c r="A7" s="103" t="s">
        <v>90</v>
      </c>
      <c r="B7" s="103" t="s">
        <v>91</v>
      </c>
      <c r="C7" s="104">
        <v>1</v>
      </c>
      <c r="D7" s="104">
        <v>2</v>
      </c>
      <c r="E7" s="104">
        <v>3</v>
      </c>
      <c r="F7" s="104">
        <v>4</v>
      </c>
      <c r="G7" s="104">
        <v>5</v>
      </c>
      <c r="H7" s="104" t="s">
        <v>98</v>
      </c>
    </row>
    <row r="8" spans="1:8" s="105" customFormat="1" ht="19.5" customHeight="1">
      <c r="A8" s="133"/>
      <c r="B8" s="96" t="s">
        <v>113</v>
      </c>
      <c r="C8" s="134"/>
      <c r="D8" s="134"/>
      <c r="E8" s="134"/>
      <c r="F8" s="134"/>
      <c r="G8" s="134"/>
      <c r="H8" s="134"/>
    </row>
    <row r="9" spans="1:8" ht="39" customHeight="1">
      <c r="A9" s="93"/>
      <c r="B9" s="94" t="s">
        <v>114</v>
      </c>
      <c r="C9" s="108">
        <f aca="true" t="shared" si="0" ref="C9:H9">C10+C12</f>
        <v>124228.19242659</v>
      </c>
      <c r="D9" s="108">
        <f t="shared" si="0"/>
        <v>25275.1025</v>
      </c>
      <c r="E9" s="108">
        <f t="shared" si="0"/>
        <v>60112.474216</v>
      </c>
      <c r="F9" s="108">
        <f t="shared" si="0"/>
        <v>588.072492</v>
      </c>
      <c r="G9" s="108">
        <f t="shared" si="0"/>
        <v>60700.546708</v>
      </c>
      <c r="H9" s="108">
        <f t="shared" si="0"/>
        <v>89390.82071059</v>
      </c>
    </row>
    <row r="10" spans="1:8" s="97" customFormat="1" ht="36" customHeight="1">
      <c r="A10" s="95" t="s">
        <v>95</v>
      </c>
      <c r="B10" s="96" t="s">
        <v>92</v>
      </c>
      <c r="C10" s="107">
        <f>C11</f>
        <v>90000</v>
      </c>
      <c r="D10" s="107">
        <f>D11</f>
        <v>0</v>
      </c>
      <c r="E10" s="107">
        <f>E11</f>
        <v>60000</v>
      </c>
      <c r="F10" s="110"/>
      <c r="G10" s="107">
        <f>G11</f>
        <v>60000</v>
      </c>
      <c r="H10" s="107">
        <f>H11</f>
        <v>30000</v>
      </c>
    </row>
    <row r="11" spans="1:8" ht="33" customHeight="1">
      <c r="A11" s="98">
        <v>1</v>
      </c>
      <c r="B11" s="99" t="s">
        <v>93</v>
      </c>
      <c r="C11" s="102">
        <v>90000</v>
      </c>
      <c r="D11" s="102"/>
      <c r="E11" s="102">
        <v>60000</v>
      </c>
      <c r="F11" s="109"/>
      <c r="G11" s="102">
        <f>E11+F11</f>
        <v>60000</v>
      </c>
      <c r="H11" s="102">
        <f>C11+D11-E11</f>
        <v>30000</v>
      </c>
    </row>
    <row r="12" spans="1:10" s="97" customFormat="1" ht="40.5" customHeight="1">
      <c r="A12" s="95" t="s">
        <v>96</v>
      </c>
      <c r="B12" s="100" t="s">
        <v>94</v>
      </c>
      <c r="C12" s="107">
        <f aca="true" t="shared" si="1" ref="C12:H12">SUM(C13:C17)</f>
        <v>34228.19242659</v>
      </c>
      <c r="D12" s="107">
        <f t="shared" si="1"/>
        <v>25275.1025</v>
      </c>
      <c r="E12" s="107">
        <f t="shared" si="1"/>
        <v>112.474216</v>
      </c>
      <c r="F12" s="107">
        <f>SUM(F13:F17)</f>
        <v>588.072492</v>
      </c>
      <c r="G12" s="107">
        <f t="shared" si="1"/>
        <v>700.5467080000001</v>
      </c>
      <c r="H12" s="107">
        <f t="shared" si="1"/>
        <v>59390.82071059</v>
      </c>
      <c r="I12" s="131"/>
      <c r="J12" s="131"/>
    </row>
    <row r="13" spans="1:10" s="120" customFormat="1" ht="47.25" customHeight="1">
      <c r="A13" s="121">
        <v>1</v>
      </c>
      <c r="B13" s="122" t="str">
        <f>'[2]Bieu so 01'!B9</f>
        <v>Dự án xây dựng cầu dân sinh và quản lý tài sản đường địa phương (LRAMP)</v>
      </c>
      <c r="C13" s="123">
        <v>11756.7917</v>
      </c>
      <c r="D13" s="124">
        <v>6869</v>
      </c>
      <c r="E13" s="124"/>
      <c r="F13" s="124">
        <f>119.518113+105.8</f>
        <v>225.31811299999998</v>
      </c>
      <c r="G13" s="124">
        <f>E13+F13</f>
        <v>225.31811299999998</v>
      </c>
      <c r="H13" s="124">
        <f>C13+D13</f>
        <v>18625.7917</v>
      </c>
      <c r="I13" s="132"/>
      <c r="J13" s="132"/>
    </row>
    <row r="14" spans="1:10" s="120" customFormat="1" ht="39" customHeight="1">
      <c r="A14" s="121">
        <v>2</v>
      </c>
      <c r="B14" s="122" t="str">
        <f>'[2]Bieu so 01'!B11</f>
        <v>Chương trình "Mở rộng quy mô vệ sinh nước sạch nông thôn dựa trên kết quả"</v>
      </c>
      <c r="C14" s="124">
        <v>7206.038</v>
      </c>
      <c r="D14" s="124">
        <f>4000+4000</f>
        <v>8000</v>
      </c>
      <c r="E14" s="124"/>
      <c r="F14" s="124">
        <f>(67975356+77483276)/1000000</f>
        <v>145.458632</v>
      </c>
      <c r="G14" s="124">
        <f>E14+F14</f>
        <v>145.458632</v>
      </c>
      <c r="H14" s="124">
        <f>C14+D14</f>
        <v>15206.038</v>
      </c>
      <c r="I14" s="132"/>
      <c r="J14" s="132"/>
    </row>
    <row r="15" spans="1:10" s="120" customFormat="1" ht="39" customHeight="1">
      <c r="A15" s="125">
        <v>3</v>
      </c>
      <c r="B15" s="126" t="s">
        <v>104</v>
      </c>
      <c r="C15" s="124">
        <f>(35053.753237)*7%</f>
        <v>2453.76272659</v>
      </c>
      <c r="D15" s="124">
        <v>2310</v>
      </c>
      <c r="E15" s="124"/>
      <c r="F15" s="124">
        <f>(24672280+35629929)/1000000</f>
        <v>60.302209</v>
      </c>
      <c r="G15" s="124">
        <f>SUM(E15:F15)</f>
        <v>60.302209</v>
      </c>
      <c r="H15" s="124">
        <f>C15+D15</f>
        <v>4763.76272659</v>
      </c>
      <c r="I15" s="132"/>
      <c r="J15" s="132"/>
    </row>
    <row r="16" spans="1:10" s="120" customFormat="1" ht="45">
      <c r="A16" s="125">
        <v>4</v>
      </c>
      <c r="B16" s="127" t="s">
        <v>107</v>
      </c>
      <c r="C16" s="124"/>
      <c r="D16" s="124">
        <v>7314.3465</v>
      </c>
      <c r="E16" s="124"/>
      <c r="F16" s="124"/>
      <c r="G16" s="124"/>
      <c r="H16" s="124">
        <f>C16+D16</f>
        <v>7314.3465</v>
      </c>
      <c r="I16" s="132"/>
      <c r="J16" s="132"/>
    </row>
    <row r="17" spans="1:10" s="120" customFormat="1" ht="39" customHeight="1">
      <c r="A17" s="128">
        <v>5</v>
      </c>
      <c r="B17" s="129" t="str">
        <f>'[2]Bieu so 01'!B12</f>
        <v>Chương trình giảm nghèo dựa trên phát triển hàng hóa (CPRP) tỉnh Hà Giang</v>
      </c>
      <c r="C17" s="130">
        <v>12811.6</v>
      </c>
      <c r="D17" s="130">
        <v>781.756</v>
      </c>
      <c r="E17" s="130">
        <v>112.474216</v>
      </c>
      <c r="F17" s="130">
        <f>'[3]bieu 1.01 '!$I$13/1000000</f>
        <v>156.993538</v>
      </c>
      <c r="G17" s="130">
        <f>E17+F17</f>
        <v>269.467754</v>
      </c>
      <c r="H17" s="130">
        <f>C17+D17-E17</f>
        <v>13480.881784</v>
      </c>
      <c r="I17" s="132"/>
      <c r="J17" s="132"/>
    </row>
    <row r="18" spans="2:8" s="81" customFormat="1" ht="18.75">
      <c r="B18" s="88"/>
      <c r="C18" s="79"/>
      <c r="D18" s="79"/>
      <c r="E18" s="79"/>
      <c r="F18" s="79"/>
      <c r="G18" s="79"/>
      <c r="H18" s="79"/>
    </row>
    <row r="19" spans="2:8" s="81" customFormat="1" ht="18.75">
      <c r="B19" s="88"/>
      <c r="C19" s="79"/>
      <c r="D19" s="79"/>
      <c r="E19" s="79"/>
      <c r="F19" s="79"/>
      <c r="G19" s="79"/>
      <c r="H19" s="79"/>
    </row>
    <row r="20" spans="2:8" s="81" customFormat="1" ht="18.75">
      <c r="B20" s="88"/>
      <c r="C20" s="79"/>
      <c r="D20" s="79"/>
      <c r="E20" s="79"/>
      <c r="F20" s="79"/>
      <c r="G20" s="79"/>
      <c r="H20" s="79"/>
    </row>
    <row r="21" spans="2:8" s="81" customFormat="1" ht="18.75">
      <c r="B21" s="88"/>
      <c r="C21" s="79"/>
      <c r="D21" s="79"/>
      <c r="E21" s="79"/>
      <c r="F21" s="79"/>
      <c r="G21" s="79"/>
      <c r="H21" s="79"/>
    </row>
    <row r="22" spans="2:8" s="81" customFormat="1" ht="18.75">
      <c r="B22" s="88"/>
      <c r="C22" s="79"/>
      <c r="D22" s="79"/>
      <c r="E22" s="79"/>
      <c r="F22" s="79"/>
      <c r="G22" s="79"/>
      <c r="H22" s="79"/>
    </row>
    <row r="23" spans="2:8" s="81" customFormat="1" ht="18.75">
      <c r="B23" s="88"/>
      <c r="C23" s="79"/>
      <c r="D23" s="79"/>
      <c r="E23" s="79"/>
      <c r="F23" s="79"/>
      <c r="G23" s="79"/>
      <c r="H23" s="79"/>
    </row>
    <row r="24" spans="2:8" s="81" customFormat="1" ht="18.75">
      <c r="B24" s="88"/>
      <c r="C24" s="79"/>
      <c r="D24" s="79"/>
      <c r="E24" s="79"/>
      <c r="F24" s="79"/>
      <c r="G24" s="79"/>
      <c r="H24" s="79"/>
    </row>
    <row r="25" spans="2:8" s="81" customFormat="1" ht="18.75">
      <c r="B25" s="88"/>
      <c r="C25" s="79"/>
      <c r="D25" s="79"/>
      <c r="E25" s="79"/>
      <c r="F25" s="79"/>
      <c r="G25" s="79"/>
      <c r="H25" s="79"/>
    </row>
    <row r="26" spans="2:8" s="81" customFormat="1" ht="18.75">
      <c r="B26" s="88"/>
      <c r="C26" s="79"/>
      <c r="D26" s="79"/>
      <c r="E26" s="79"/>
      <c r="F26" s="79"/>
      <c r="G26" s="79"/>
      <c r="H26" s="79"/>
    </row>
    <row r="27" spans="2:8" s="81" customFormat="1" ht="18.75">
      <c r="B27" s="88"/>
      <c r="C27" s="79"/>
      <c r="D27" s="79"/>
      <c r="E27" s="79"/>
      <c r="F27" s="79"/>
      <c r="G27" s="79"/>
      <c r="H27" s="79"/>
    </row>
    <row r="28" spans="2:8" s="81" customFormat="1" ht="18.75">
      <c r="B28" s="116" t="s">
        <v>105</v>
      </c>
      <c r="C28" s="89"/>
      <c r="D28" s="89"/>
      <c r="E28" s="193" t="s">
        <v>106</v>
      </c>
      <c r="F28" s="193"/>
      <c r="G28" s="193"/>
      <c r="H28" s="193"/>
    </row>
    <row r="30" ht="15.75">
      <c r="B30" s="77"/>
    </row>
  </sheetData>
  <sheetProtection/>
  <mergeCells count="12">
    <mergeCell ref="A1:B1"/>
    <mergeCell ref="G1:H1"/>
    <mergeCell ref="A2:H2"/>
    <mergeCell ref="A3:H3"/>
    <mergeCell ref="G4:H4"/>
    <mergeCell ref="A5:A6"/>
    <mergeCell ref="B5:B6"/>
    <mergeCell ref="C5:C6"/>
    <mergeCell ref="D5:D6"/>
    <mergeCell ref="E5:G5"/>
    <mergeCell ref="H5:H6"/>
    <mergeCell ref="E28:H28"/>
  </mergeCells>
  <printOptions horizontalCentered="1"/>
  <pageMargins left="0.118110236220472" right="0.275590551181102" top="0.208661417" bottom="0.15748031496063" header="0.31496062992126" footer="0.31496062992126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ThiThu Hien1</dc:creator>
  <cp:keywords/>
  <dc:description/>
  <cp:lastModifiedBy>Administrator</cp:lastModifiedBy>
  <cp:lastPrinted>2023-08-15T02:17:10Z</cp:lastPrinted>
  <dcterms:created xsi:type="dcterms:W3CDTF">2015-01-23T11:21:40Z</dcterms:created>
  <dcterms:modified xsi:type="dcterms:W3CDTF">2023-08-16T01:31:11Z</dcterms:modified>
  <cp:category/>
  <cp:version/>
  <cp:contentType/>
  <cp:contentStatus/>
</cp:coreProperties>
</file>